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wmf" ContentType="image/x-wmf"/>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Default Extension="doc" ContentType="application/msword"/>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png" ContentType="image/png"/>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9260" windowHeight="4785" tabRatio="951" firstSheet="10" activeTab="13"/>
  </bookViews>
  <sheets>
    <sheet name="Instrukcja" sheetId="1" r:id="rId1"/>
    <sheet name="Ogolne" sheetId="2" r:id="rId2"/>
    <sheet name="Sam-Budynki-WSAD" sheetId="24" r:id="rId3"/>
    <sheet name="Sam-Budynki" sheetId="3" r:id="rId4"/>
    <sheet name="Sam-Pojazdy-WSAD" sheetId="25" r:id="rId5"/>
    <sheet name="Sam-Pojazdy" sheetId="4" r:id="rId6"/>
    <sheet name="Sam-Oswietlenie" sheetId="5" r:id="rId7"/>
    <sheet name="Sam-Woda&amp;Scieki" sheetId="6" r:id="rId8"/>
    <sheet name="Sam-Odpady-WSAD" sheetId="26" r:id="rId9"/>
    <sheet name="Sam-Odpady" sheetId="7" r:id="rId10"/>
    <sheet name="Sam-Podsumowanie" sheetId="8" r:id="rId11"/>
    <sheet name="Spo-Mieszkalny" sheetId="9" r:id="rId12"/>
    <sheet name="Spo-Uslugi" sheetId="10" r:id="rId13"/>
    <sheet name="Spo-Przemysł" sheetId="11" r:id="rId14"/>
    <sheet name="Com-Transportation (VKT)" sheetId="12" state="hidden" r:id="rId15"/>
    <sheet name="Spo-Transport (ZuzyciePaliw)" sheetId="13" r:id="rId16"/>
    <sheet name="Spo-Odpady" sheetId="14" r:id="rId17"/>
    <sheet name="Rolnictwo" sheetId="15" r:id="rId18"/>
    <sheet name="Lokalna produkcja energii" sheetId="16" r:id="rId19"/>
    <sheet name="Spo-podsumowanie" sheetId="17" r:id="rId20"/>
    <sheet name="Wskazniki emisji paliw" sheetId="18" r:id="rId21"/>
    <sheet name="Wskazniki emisji elektrycznosc" sheetId="19" r:id="rId22"/>
    <sheet name="Wskazniki emisji rolnictwo" sheetId="20" r:id="rId23"/>
    <sheet name="N2O coef" sheetId="21" state="hidden" r:id="rId24"/>
    <sheet name="CH4 coef" sheetId="22" state="hidden" r:id="rId25"/>
    <sheet name="Waste coef" sheetId="23" state="hidden" r:id="rId26"/>
  </sheets>
  <definedNames>
    <definedName name="_xlnm.Print_Area" localSheetId="14">'Com-Transportation (VKT)'!$A$1:$Z$34</definedName>
    <definedName name="_xlnm.Print_Area" localSheetId="0">Instrukcja!$A$1:$C$34</definedName>
    <definedName name="_xlnm.Print_Area" localSheetId="18">'Lokalna produkcja energii'!$A$1:$AQ$51</definedName>
    <definedName name="_xlnm.Print_Area" localSheetId="1">Ogolne!$A$1:$G$29</definedName>
    <definedName name="_xlnm.Print_Area" localSheetId="17">Rolnictwo!$A$1:$J$35</definedName>
    <definedName name="_xlnm.Print_Area" localSheetId="3">'Sam-Budynki'!$A$1:$AR$59</definedName>
    <definedName name="_xlnm.Print_Area" localSheetId="9">'Sam-Odpady'!$A$1:$G$74</definedName>
    <definedName name="_xlnm.Print_Area" localSheetId="8">'Sam-Odpady-WSAD'!$A$1:$G$74</definedName>
    <definedName name="_xlnm.Print_Area" localSheetId="6">'Sam-Oswietlenie'!$A$1:$L$33</definedName>
    <definedName name="_xlnm.Print_Area" localSheetId="10">'Sam-Podsumowanie'!$A$1:$X$53</definedName>
    <definedName name="_xlnm.Print_Area" localSheetId="5">'Sam-Pojazdy'!$A$1:$AN$76</definedName>
    <definedName name="_xlnm.Print_Area" localSheetId="7">'Sam-Woda&amp;Scieki'!$A$1:$AS$28</definedName>
    <definedName name="_xlnm.Print_Area" localSheetId="11">'Spo-Mieszkalny'!$A$1:$J$27</definedName>
    <definedName name="_xlnm.Print_Area" localSheetId="16">'Spo-Odpady'!$A$1:$I$15</definedName>
    <definedName name="_xlnm.Print_Area" localSheetId="19">'Spo-podsumowanie'!$A$1:$Z$66</definedName>
    <definedName name="_xlnm.Print_Area" localSheetId="13">'Spo-Przemysł'!$A$1:$I$46</definedName>
    <definedName name="_xlnm.Print_Area" localSheetId="15">'Spo-Transport (ZuzyciePaliw)'!$A$1:$BD$28</definedName>
    <definedName name="_xlnm.Print_Area" localSheetId="12">'Spo-Uslugi'!$A$1:$J$31</definedName>
    <definedName name="_xlnm.Print_Area" localSheetId="21">'Wskazniki emisji elektrycznosc'!$A$1:$H$35</definedName>
    <definedName name="_xlnm.Print_Area" localSheetId="20">'Wskazniki emisji paliw'!$A$1:$O$36</definedName>
    <definedName name="_xlnm.Print_Area" localSheetId="22">'Wskazniki emisji rolnictwo'!$A$1:$N$94</definedName>
    <definedName name="bdecost">"$#REF!.$E$12"</definedName>
    <definedName name="bdeeco2">"$#REF!.$J$12"</definedName>
    <definedName name="bdieselcost">"$#REF!.$E$14"</definedName>
    <definedName name="bdieseleco2">"$#REF!.$J$14"</definedName>
    <definedName name="beleccost">"$#REF!.$E$10"</definedName>
    <definedName name="belececo2">"$#REF!.$J$10"</definedName>
    <definedName name="bfocost">"$#REF!.$E$13"</definedName>
    <definedName name="bfoeco2">"$#REF!.$J$13"</definedName>
    <definedName name="bngcost">"$#REF!.$E$11"</definedName>
    <definedName name="bngeco2">"$#REF!.$J$11"</definedName>
    <definedName name="bpropanecost">"$#REF!.$E$15"</definedName>
    <definedName name="bpropaneeco2">"$#REF!.$J$15"</definedName>
    <definedName name="buildingcost">'Sam-Budynki'!$AQ$61</definedName>
    <definedName name="buildingeco2">"$#REF!.$J$16"</definedName>
    <definedName name="buildingscost">'Sam-Budynki'!$AQ$30</definedName>
    <definedName name="buildingsde">"$#REF!.$E$12"</definedName>
    <definedName name="buildingsdiesel">"$#REF!.$E$14"</definedName>
    <definedName name="buildingseco2">'Sam-Budynki'!$AR$30</definedName>
    <definedName name="buildingselec">"$#REF!.$E$10"</definedName>
    <definedName name="buildingsfo">"$#REF!.$E$13"</definedName>
    <definedName name="buildingsng">"$#REF!.$E$11"</definedName>
    <definedName name="buildingspropane">"$#REF!.$E$15"</definedName>
    <definedName name="cngch4">"$'fuels emissions factors'.$#ref" "$#REF!"</definedName>
    <definedName name="cngco2">"$'fuels emissions factors'.$#ref" "$#REF!"</definedName>
    <definedName name="cngn2o">"$'fuels emissions factors'.$#ref" "$#REF!"</definedName>
    <definedName name="comyear">Ogolne!$D$8</definedName>
    <definedName name="corpwasteeco2">"$'govt-waste'.$#ref" "$#REF!"</definedName>
    <definedName name="corpyear">Ogolne!$D$7</definedName>
    <definedName name="dech4">"$'fuels emissions factors'.$#ref" "$#REF!"</definedName>
    <definedName name="deco2">"$'fuels emissions factors'.$#ref" "$#REF!"</definedName>
    <definedName name="den2o">"$'fuels emissions factors'.$#ref" "$#REF!"</definedName>
    <definedName name="dieselch4">"$'fuels emissions factors'.$#ref" "$#REF!"</definedName>
    <definedName name="dieselco2">"$'fuels emissions factors'.$#ref" "$#REF!"</definedName>
    <definedName name="dieseln2o">"$'fuels emissions factors'.$#ref" "$#REF!"</definedName>
    <definedName name="ethanolch4">"$'fuels emissions factors'.$#ref" "$#REF!"</definedName>
    <definedName name="ethanolco2">"$'fuels emissions factors'.$#ref" "$#REF!"</definedName>
    <definedName name="ethanoln2o">"$'fuels emissions factors'.$#ref" "$#REF!"</definedName>
    <definedName name="Excel_BuiltIn__FilterDatabase_2">Ogolne!$B$56:$B$61</definedName>
    <definedName name="Excel_BuiltIn__FilterDatabase_3">'Sam-Budynki'!$B$3:$Q$6</definedName>
    <definedName name="fueloilch4">"$'fuels emissions factors'.$#ref" "$#REF!"</definedName>
    <definedName name="fueloilco2">"$'fuels emissions factors'.$#ref" "$#REF!"</definedName>
    <definedName name="fueloiln2o">"$'fuels emissions factors'.$#ref" "$#REF!"</definedName>
    <definedName name="gasch4">"$'fuels emissions factors'.$#ref" "$#REF!"</definedName>
    <definedName name="gasco2">"$'fuels emissions factors'.$#ref" "$#REF!"</definedName>
    <definedName name="gasn2o">"$'fuels emissions factors'.$#ref" "$#REF!"</definedName>
    <definedName name="name">Ogolne!$D$5</definedName>
    <definedName name="natgasch4">"$'fuels emissions factors'.$#ref" "$#REF!"</definedName>
    <definedName name="natgasco2">"$'fuels emissions factors'.$#ref" "$#REF!"</definedName>
    <definedName name="natgasn2o">"$'fuels emissions factors'.$#ref" "$#REF!"</definedName>
    <definedName name="propanech4">"$'fuels emissions factors'.$#ref" "$#REF!"</definedName>
    <definedName name="propaneco2">"$'fuels emissions factors'.$#ref" "$#REF!"</definedName>
    <definedName name="propanen2o">"$'fuels emissions factors'.$#ref" "$#REF!"</definedName>
    <definedName name="publiclightingcost">'Sam-Oswietlenie'!$E$18</definedName>
    <definedName name="slelecuse">"$#REF!.$D$10"</definedName>
    <definedName name="streetlightscost">'Sam-Oswietlenie'!$E$18</definedName>
    <definedName name="streetlightseco2">"$'govt-public lighting'.$#ref" "$#REF!"</definedName>
    <definedName name="vehiclefleetcost">'Sam-Pojazdy'!$AG$70</definedName>
    <definedName name="vehiclefleeteco2">'Sam-Pojazdy'!$AH$70</definedName>
    <definedName name="vfcngcost">"$#REF!.$E$13"</definedName>
    <definedName name="vfcngeco2">"$#REF!.$F$13"</definedName>
    <definedName name="vfdieselcost">"$#REF!.$E$11"</definedName>
    <definedName name="vfebcost">"$#REF!.$E$14"</definedName>
    <definedName name="vfebeco2">"$#REF!.$F$14"</definedName>
    <definedName name="vfgascost">"$#REF!.$E$10"</definedName>
    <definedName name="vfpropanecost">"$#REF!.$E$12"</definedName>
    <definedName name="vfpropaneeco2">"$#REF!.$F$12"</definedName>
    <definedName name="vgdieseleco2">"$#REF!.$F$11"</definedName>
    <definedName name="vggaseco2">"$#REF!.$F$10"</definedName>
    <definedName name="wastecoef">'Waste coef'!$D$9</definedName>
    <definedName name="wasteeco2">"$'govt-waste'.$#ref" "$#REF!"</definedName>
    <definedName name="waterandsewagecost">'Sam-Woda&amp;Scieki'!$AO$18</definedName>
    <definedName name="waterandsewageeco2">'Sam-Woda&amp;Scieki'!$AP$18</definedName>
  </definedNames>
  <calcPr calcId="125725"/>
</workbook>
</file>

<file path=xl/calcChain.xml><?xml version="1.0" encoding="utf-8"?>
<calcChain xmlns="http://schemas.openxmlformats.org/spreadsheetml/2006/main">
  <c r="C4" i="3"/>
  <c r="C1"/>
  <c r="D8"/>
  <c r="E13" i="6"/>
  <c r="D13"/>
  <c r="B3" i="21"/>
  <c r="F1" i="20"/>
  <c r="F4"/>
  <c r="E14"/>
  <c r="H14"/>
  <c r="I14"/>
  <c r="H15"/>
  <c r="I15"/>
  <c r="H16"/>
  <c r="I16"/>
  <c r="H17"/>
  <c r="I17"/>
  <c r="H18"/>
  <c r="I18"/>
  <c r="E19"/>
  <c r="H19"/>
  <c r="I19"/>
  <c r="H20"/>
  <c r="I20"/>
  <c r="H21"/>
  <c r="I21"/>
  <c r="H22"/>
  <c r="I22"/>
  <c r="H23"/>
  <c r="I23"/>
  <c r="E24"/>
  <c r="H24"/>
  <c r="I24"/>
  <c r="E25"/>
  <c r="H25"/>
  <c r="I25"/>
  <c r="E26"/>
  <c r="H26"/>
  <c r="I26"/>
  <c r="E27"/>
  <c r="H27"/>
  <c r="I27"/>
  <c r="E28"/>
  <c r="H28"/>
  <c r="I28"/>
  <c r="E29"/>
  <c r="H29"/>
  <c r="I29"/>
  <c r="E30"/>
  <c r="H30"/>
  <c r="I30"/>
  <c r="E31"/>
  <c r="H31"/>
  <c r="I31"/>
  <c r="E32"/>
  <c r="H32"/>
  <c r="I32"/>
  <c r="E33"/>
  <c r="H33"/>
  <c r="I33"/>
  <c r="E34"/>
  <c r="H34"/>
  <c r="I34"/>
  <c r="G4" i="19"/>
  <c r="G5"/>
  <c r="F3" i="18"/>
  <c r="F4"/>
  <c r="H10"/>
  <c r="N10"/>
  <c r="H11"/>
  <c r="N11"/>
  <c r="H12"/>
  <c r="N12"/>
  <c r="H13"/>
  <c r="N13"/>
  <c r="H14"/>
  <c r="N14"/>
  <c r="H17"/>
  <c r="L17"/>
  <c r="H18"/>
  <c r="K18"/>
  <c r="L18"/>
  <c r="H19"/>
  <c r="K19"/>
  <c r="L19"/>
  <c r="H20"/>
  <c r="L20"/>
  <c r="H21"/>
  <c r="K21"/>
  <c r="L21"/>
  <c r="H22"/>
  <c r="L22"/>
  <c r="H23"/>
  <c r="L23"/>
  <c r="H26"/>
  <c r="M26"/>
  <c r="H27"/>
  <c r="M27"/>
  <c r="H28"/>
  <c r="L28"/>
  <c r="H29"/>
  <c r="M29"/>
  <c r="H33"/>
  <c r="H34"/>
  <c r="C4" i="17"/>
  <c r="E5"/>
  <c r="E6"/>
  <c r="E24"/>
  <c r="E25"/>
  <c r="F25"/>
  <c r="E30"/>
  <c r="F30"/>
  <c r="C39"/>
  <c r="C40"/>
  <c r="C44"/>
  <c r="C45"/>
  <c r="C46"/>
  <c r="C47"/>
  <c r="C48"/>
  <c r="C49"/>
  <c r="C56"/>
  <c r="C1" i="16"/>
  <c r="C4"/>
  <c r="N11"/>
  <c r="O11"/>
  <c r="R11"/>
  <c r="V11"/>
  <c r="W11"/>
  <c r="Z11"/>
  <c r="AA11"/>
  <c r="AD11"/>
  <c r="AE11"/>
  <c r="N12"/>
  <c r="O12"/>
  <c r="R12"/>
  <c r="V12"/>
  <c r="W12"/>
  <c r="Z12"/>
  <c r="AA12"/>
  <c r="AD12"/>
  <c r="AE12"/>
  <c r="N13"/>
  <c r="O13"/>
  <c r="R13"/>
  <c r="V13"/>
  <c r="W13"/>
  <c r="J13" s="1"/>
  <c r="P13" s="1"/>
  <c r="Z13"/>
  <c r="AA13"/>
  <c r="AA23" s="1"/>
  <c r="AD13"/>
  <c r="K13" s="1"/>
  <c r="Q13" s="1"/>
  <c r="AE13"/>
  <c r="N14"/>
  <c r="O14"/>
  <c r="R14"/>
  <c r="V14"/>
  <c r="W14"/>
  <c r="Z14"/>
  <c r="K14" s="1"/>
  <c r="Q14" s="1"/>
  <c r="AA14"/>
  <c r="J14" s="1"/>
  <c r="P14" s="1"/>
  <c r="AD14"/>
  <c r="AE14"/>
  <c r="N15"/>
  <c r="O15"/>
  <c r="R15"/>
  <c r="V15"/>
  <c r="W15"/>
  <c r="Z15"/>
  <c r="K15" s="1"/>
  <c r="Q15" s="1"/>
  <c r="AA15"/>
  <c r="J15" s="1"/>
  <c r="P15" s="1"/>
  <c r="AD15"/>
  <c r="AE15"/>
  <c r="G16"/>
  <c r="N16"/>
  <c r="O16"/>
  <c r="R16"/>
  <c r="V16"/>
  <c r="K16" s="1"/>
  <c r="Q16" s="1"/>
  <c r="W16"/>
  <c r="Z16"/>
  <c r="AA16"/>
  <c r="J16" s="1"/>
  <c r="P16" s="1"/>
  <c r="AD16"/>
  <c r="AE16"/>
  <c r="N17"/>
  <c r="O17"/>
  <c r="R17"/>
  <c r="V17"/>
  <c r="W17"/>
  <c r="Z17"/>
  <c r="AA17"/>
  <c r="AD17"/>
  <c r="AE17"/>
  <c r="J17" s="1"/>
  <c r="P17" s="1"/>
  <c r="N18"/>
  <c r="O18"/>
  <c r="R18"/>
  <c r="V18"/>
  <c r="W18"/>
  <c r="Z18"/>
  <c r="K18" s="1"/>
  <c r="Q18" s="1"/>
  <c r="AA18"/>
  <c r="AD18"/>
  <c r="AE18"/>
  <c r="N19"/>
  <c r="O19"/>
  <c r="R19"/>
  <c r="V19"/>
  <c r="W19"/>
  <c r="Z19"/>
  <c r="AA19"/>
  <c r="AD19"/>
  <c r="AE19"/>
  <c r="J19" s="1"/>
  <c r="P19" s="1"/>
  <c r="N20"/>
  <c r="O20"/>
  <c r="R20"/>
  <c r="V20"/>
  <c r="W20"/>
  <c r="Z20"/>
  <c r="K20" s="1"/>
  <c r="Q20" s="1"/>
  <c r="AA20"/>
  <c r="AD20"/>
  <c r="AE20"/>
  <c r="N21"/>
  <c r="O21"/>
  <c r="R21"/>
  <c r="V21"/>
  <c r="W21"/>
  <c r="Z21"/>
  <c r="AA21"/>
  <c r="J21"/>
  <c r="P21" s="1"/>
  <c r="AD21"/>
  <c r="AE21"/>
  <c r="N22"/>
  <c r="O22"/>
  <c r="R22"/>
  <c r="V22"/>
  <c r="W22"/>
  <c r="Z22"/>
  <c r="K22" s="1"/>
  <c r="Q22" s="1"/>
  <c r="AA22"/>
  <c r="AD22"/>
  <c r="AE22"/>
  <c r="G23"/>
  <c r="H23"/>
  <c r="I23"/>
  <c r="N23"/>
  <c r="O23"/>
  <c r="R23"/>
  <c r="T23"/>
  <c r="C51" i="17"/>
  <c r="U23" i="16"/>
  <c r="X23"/>
  <c r="C53" i="17" s="1"/>
  <c r="Y23" i="16"/>
  <c r="AB23"/>
  <c r="C52" i="17"/>
  <c r="AC23" i="16"/>
  <c r="J25"/>
  <c r="R25"/>
  <c r="N31"/>
  <c r="O31"/>
  <c r="R31"/>
  <c r="V31"/>
  <c r="W31"/>
  <c r="Z31"/>
  <c r="AA31"/>
  <c r="AD31"/>
  <c r="AD40" s="1"/>
  <c r="AE31"/>
  <c r="AH31"/>
  <c r="AI31"/>
  <c r="AL31"/>
  <c r="AL40" s="1"/>
  <c r="AM31"/>
  <c r="AP31"/>
  <c r="AQ31"/>
  <c r="AT31"/>
  <c r="AU31"/>
  <c r="AX31"/>
  <c r="N32"/>
  <c r="O32"/>
  <c r="R32"/>
  <c r="V32"/>
  <c r="K32" s="1"/>
  <c r="Q32" s="1"/>
  <c r="W32"/>
  <c r="Z32"/>
  <c r="AA32"/>
  <c r="AD32"/>
  <c r="AE32"/>
  <c r="AH32"/>
  <c r="AH40" s="1"/>
  <c r="AI32"/>
  <c r="AL32"/>
  <c r="AM32"/>
  <c r="AP32"/>
  <c r="AQ32"/>
  <c r="AT32"/>
  <c r="AT40" s="1"/>
  <c r="E48" i="17" s="1"/>
  <c r="AU32" i="16"/>
  <c r="AX32"/>
  <c r="N33"/>
  <c r="O33"/>
  <c r="R33"/>
  <c r="V33"/>
  <c r="K33" s="1"/>
  <c r="Q33" s="1"/>
  <c r="W33"/>
  <c r="Z33"/>
  <c r="AA33"/>
  <c r="AD33"/>
  <c r="AE33"/>
  <c r="AH33"/>
  <c r="AI33"/>
  <c r="AL33"/>
  <c r="AM33"/>
  <c r="AP33"/>
  <c r="AQ33"/>
  <c r="AT33"/>
  <c r="AU33"/>
  <c r="AX33"/>
  <c r="N34"/>
  <c r="O34"/>
  <c r="R34"/>
  <c r="V34"/>
  <c r="K34" s="1"/>
  <c r="Q34" s="1"/>
  <c r="W34"/>
  <c r="Z34"/>
  <c r="AA34"/>
  <c r="AD34"/>
  <c r="AE34"/>
  <c r="AH34"/>
  <c r="AI34"/>
  <c r="AL34"/>
  <c r="AM34"/>
  <c r="AP34"/>
  <c r="AQ34"/>
  <c r="AT34"/>
  <c r="AU34"/>
  <c r="AX34"/>
  <c r="N35"/>
  <c r="O35"/>
  <c r="R35"/>
  <c r="V35"/>
  <c r="K35" s="1"/>
  <c r="Q35" s="1"/>
  <c r="W35"/>
  <c r="Z35"/>
  <c r="AA35"/>
  <c r="AD35"/>
  <c r="AE35"/>
  <c r="AH35"/>
  <c r="AI35"/>
  <c r="AL35"/>
  <c r="AM35"/>
  <c r="AP35"/>
  <c r="AQ35"/>
  <c r="AT35"/>
  <c r="AU35"/>
  <c r="AX35"/>
  <c r="N36"/>
  <c r="O36"/>
  <c r="R36"/>
  <c r="V36"/>
  <c r="K36" s="1"/>
  <c r="Q36" s="1"/>
  <c r="W36"/>
  <c r="Z36"/>
  <c r="AA36"/>
  <c r="AD36"/>
  <c r="AE36"/>
  <c r="AH36"/>
  <c r="AI36"/>
  <c r="AL36"/>
  <c r="AM36"/>
  <c r="AP36"/>
  <c r="AQ36"/>
  <c r="AT36"/>
  <c r="AU36"/>
  <c r="AX36"/>
  <c r="N37"/>
  <c r="O37"/>
  <c r="R37"/>
  <c r="V37"/>
  <c r="K37" s="1"/>
  <c r="Q37" s="1"/>
  <c r="W37"/>
  <c r="Z37"/>
  <c r="AA37"/>
  <c r="AD37"/>
  <c r="AE37"/>
  <c r="AH37"/>
  <c r="AI37"/>
  <c r="AL37"/>
  <c r="AM37"/>
  <c r="AP37"/>
  <c r="AQ37"/>
  <c r="AT37"/>
  <c r="AU37"/>
  <c r="AX37"/>
  <c r="N38"/>
  <c r="O38"/>
  <c r="R38"/>
  <c r="V38"/>
  <c r="K38" s="1"/>
  <c r="Q38" s="1"/>
  <c r="W38"/>
  <c r="Z38"/>
  <c r="AA38"/>
  <c r="AD38"/>
  <c r="AE38"/>
  <c r="AH38"/>
  <c r="AI38"/>
  <c r="AL38"/>
  <c r="AM38"/>
  <c r="AP38"/>
  <c r="AQ38"/>
  <c r="AT38"/>
  <c r="AU38"/>
  <c r="AX38"/>
  <c r="N39"/>
  <c r="O39"/>
  <c r="R39"/>
  <c r="V39"/>
  <c r="K39" s="1"/>
  <c r="Q39" s="1"/>
  <c r="W39"/>
  <c r="Z39"/>
  <c r="AA39"/>
  <c r="AD39"/>
  <c r="AE39"/>
  <c r="AH39"/>
  <c r="AI39"/>
  <c r="AL39"/>
  <c r="AM39"/>
  <c r="AP39"/>
  <c r="AQ39"/>
  <c r="AT39"/>
  <c r="AU39"/>
  <c r="AX39"/>
  <c r="AX40" s="1"/>
  <c r="G40"/>
  <c r="H40"/>
  <c r="I40"/>
  <c r="N40"/>
  <c r="O40"/>
  <c r="R40"/>
  <c r="T40"/>
  <c r="U40"/>
  <c r="X40"/>
  <c r="Y40"/>
  <c r="Z40"/>
  <c r="AB40"/>
  <c r="AC40"/>
  <c r="AF40"/>
  <c r="AG40"/>
  <c r="AJ40"/>
  <c r="AK40"/>
  <c r="AN40"/>
  <c r="AO40"/>
  <c r="AP40"/>
  <c r="AR40"/>
  <c r="AS40"/>
  <c r="AV40"/>
  <c r="AW40"/>
  <c r="AY40"/>
  <c r="J42"/>
  <c r="R42"/>
  <c r="D1" i="15"/>
  <c r="E4"/>
  <c r="D11"/>
  <c r="F11"/>
  <c r="D12"/>
  <c r="D13"/>
  <c r="D14"/>
  <c r="D15"/>
  <c r="D16"/>
  <c r="D17"/>
  <c r="D18"/>
  <c r="D19"/>
  <c r="D20"/>
  <c r="D21"/>
  <c r="C22"/>
  <c r="C55" i="17"/>
  <c r="D32" i="15"/>
  <c r="E32"/>
  <c r="G32"/>
  <c r="H32"/>
  <c r="C1" i="14"/>
  <c r="E4"/>
  <c r="E11"/>
  <c r="E12"/>
  <c r="E13"/>
  <c r="E14"/>
  <c r="D1" i="13"/>
  <c r="C4"/>
  <c r="E11"/>
  <c r="AE11" s="1"/>
  <c r="F11"/>
  <c r="H11"/>
  <c r="I11"/>
  <c r="K11"/>
  <c r="L11"/>
  <c r="N11"/>
  <c r="O11"/>
  <c r="Q11"/>
  <c r="R11"/>
  <c r="T11"/>
  <c r="U11"/>
  <c r="W11"/>
  <c r="X11"/>
  <c r="Z11"/>
  <c r="AC11"/>
  <c r="AD11"/>
  <c r="E12"/>
  <c r="AE12" s="1"/>
  <c r="F12"/>
  <c r="H12"/>
  <c r="I12"/>
  <c r="K12"/>
  <c r="L12"/>
  <c r="N12"/>
  <c r="O12"/>
  <c r="Q12"/>
  <c r="R12"/>
  <c r="T12"/>
  <c r="T20" s="1"/>
  <c r="E44" i="17" s="1"/>
  <c r="U12" i="13"/>
  <c r="W12"/>
  <c r="X12"/>
  <c r="Z12"/>
  <c r="AC12"/>
  <c r="AD12"/>
  <c r="E13"/>
  <c r="AE13" s="1"/>
  <c r="F13"/>
  <c r="H13"/>
  <c r="I13"/>
  <c r="K13"/>
  <c r="L13"/>
  <c r="N13"/>
  <c r="O13"/>
  <c r="Q13"/>
  <c r="R13"/>
  <c r="T13"/>
  <c r="U13"/>
  <c r="W13"/>
  <c r="X13"/>
  <c r="Z13"/>
  <c r="AC13"/>
  <c r="AD13"/>
  <c r="E14"/>
  <c r="F14"/>
  <c r="H14"/>
  <c r="I14"/>
  <c r="K14"/>
  <c r="L14"/>
  <c r="N14"/>
  <c r="O14"/>
  <c r="Q14"/>
  <c r="R14"/>
  <c r="T14"/>
  <c r="U14"/>
  <c r="W14"/>
  <c r="W20" s="1"/>
  <c r="E42" i="17" s="1"/>
  <c r="X14" i="13"/>
  <c r="Z14"/>
  <c r="AC14"/>
  <c r="AD14"/>
  <c r="E15"/>
  <c r="AE15" s="1"/>
  <c r="F15"/>
  <c r="H15"/>
  <c r="I15"/>
  <c r="K15"/>
  <c r="L15"/>
  <c r="N15"/>
  <c r="O15"/>
  <c r="Q15"/>
  <c r="R15"/>
  <c r="T15"/>
  <c r="U15"/>
  <c r="W15"/>
  <c r="X15"/>
  <c r="Z15"/>
  <c r="AC15"/>
  <c r="AD15"/>
  <c r="E16"/>
  <c r="F16"/>
  <c r="H16"/>
  <c r="I16"/>
  <c r="K16"/>
  <c r="L16"/>
  <c r="N16"/>
  <c r="O16"/>
  <c r="Q16"/>
  <c r="R16"/>
  <c r="T16"/>
  <c r="U16"/>
  <c r="W16"/>
  <c r="X16"/>
  <c r="Z16"/>
  <c r="AC16"/>
  <c r="AD16"/>
  <c r="AE16"/>
  <c r="E17"/>
  <c r="F17"/>
  <c r="H17"/>
  <c r="I17"/>
  <c r="K17"/>
  <c r="L17"/>
  <c r="N17"/>
  <c r="O17"/>
  <c r="O20" s="1"/>
  <c r="Q17"/>
  <c r="R17"/>
  <c r="T17"/>
  <c r="U17"/>
  <c r="W17"/>
  <c r="X17"/>
  <c r="Z17"/>
  <c r="AC17"/>
  <c r="AD17"/>
  <c r="AE17"/>
  <c r="E18"/>
  <c r="F18"/>
  <c r="H18"/>
  <c r="I18"/>
  <c r="K18"/>
  <c r="L18"/>
  <c r="N18"/>
  <c r="O18"/>
  <c r="Q18"/>
  <c r="R18"/>
  <c r="T18"/>
  <c r="U18"/>
  <c r="W18"/>
  <c r="X18"/>
  <c r="Z18"/>
  <c r="AC18"/>
  <c r="AD18"/>
  <c r="AE18"/>
  <c r="E19"/>
  <c r="F19"/>
  <c r="H19"/>
  <c r="I19"/>
  <c r="K19"/>
  <c r="L19"/>
  <c r="N19"/>
  <c r="O19"/>
  <c r="Q19"/>
  <c r="R19"/>
  <c r="T19"/>
  <c r="U19"/>
  <c r="W19"/>
  <c r="X19"/>
  <c r="Z19"/>
  <c r="AC19"/>
  <c r="AD19"/>
  <c r="AE19"/>
  <c r="J20"/>
  <c r="K20"/>
  <c r="E49" i="17" s="1"/>
  <c r="M20" i="13"/>
  <c r="S20"/>
  <c r="V20"/>
  <c r="Y20"/>
  <c r="Z20"/>
  <c r="G1" i="12"/>
  <c r="D4"/>
  <c r="D13"/>
  <c r="E13"/>
  <c r="F13"/>
  <c r="G13"/>
  <c r="H13"/>
  <c r="I13"/>
  <c r="Q13"/>
  <c r="X13"/>
  <c r="D14"/>
  <c r="E14"/>
  <c r="F14"/>
  <c r="G14"/>
  <c r="H14"/>
  <c r="I14"/>
  <c r="Q14"/>
  <c r="X14"/>
  <c r="D15"/>
  <c r="E15"/>
  <c r="F15"/>
  <c r="G15"/>
  <c r="J15" s="1"/>
  <c r="L15" s="1"/>
  <c r="K15" s="1"/>
  <c r="H15"/>
  <c r="I15"/>
  <c r="Q15"/>
  <c r="X15"/>
  <c r="D16"/>
  <c r="E16"/>
  <c r="F16"/>
  <c r="G16"/>
  <c r="H16"/>
  <c r="I16"/>
  <c r="Q16"/>
  <c r="X16"/>
  <c r="D17"/>
  <c r="E17"/>
  <c r="J17" s="1"/>
  <c r="L17" s="1"/>
  <c r="K17" s="1"/>
  <c r="F17"/>
  <c r="G17"/>
  <c r="H17"/>
  <c r="I17"/>
  <c r="Q17"/>
  <c r="X17"/>
  <c r="D18"/>
  <c r="E18"/>
  <c r="F18"/>
  <c r="G18"/>
  <c r="H18"/>
  <c r="I18"/>
  <c r="Q18"/>
  <c r="X18"/>
  <c r="D19"/>
  <c r="E19"/>
  <c r="F19"/>
  <c r="G19"/>
  <c r="H19"/>
  <c r="I19"/>
  <c r="Q19"/>
  <c r="X19"/>
  <c r="Q20"/>
  <c r="X20"/>
  <c r="R21"/>
  <c r="S21"/>
  <c r="T21"/>
  <c r="U21"/>
  <c r="V21"/>
  <c r="W21"/>
  <c r="X21"/>
  <c r="Q26"/>
  <c r="Q27"/>
  <c r="Q28"/>
  <c r="Q29"/>
  <c r="Q30"/>
  <c r="Q31"/>
  <c r="Q32"/>
  <c r="D1" i="11"/>
  <c r="D4"/>
  <c r="E10"/>
  <c r="C11"/>
  <c r="E11"/>
  <c r="F11"/>
  <c r="E12"/>
  <c r="F12"/>
  <c r="E13"/>
  <c r="F13"/>
  <c r="E14"/>
  <c r="F14"/>
  <c r="E15"/>
  <c r="F15"/>
  <c r="E16"/>
  <c r="F16"/>
  <c r="E17"/>
  <c r="F17"/>
  <c r="E18"/>
  <c r="F18"/>
  <c r="E19"/>
  <c r="F19"/>
  <c r="E20"/>
  <c r="F20"/>
  <c r="E21"/>
  <c r="F21"/>
  <c r="E22"/>
  <c r="F22"/>
  <c r="E28"/>
  <c r="F28"/>
  <c r="E29"/>
  <c r="F29"/>
  <c r="F33"/>
  <c r="F34"/>
  <c r="F35"/>
  <c r="F36"/>
  <c r="D37"/>
  <c r="F37"/>
  <c r="F56" i="17"/>
  <c r="D1" i="10"/>
  <c r="D4"/>
  <c r="E12"/>
  <c r="F12"/>
  <c r="E14"/>
  <c r="F14"/>
  <c r="E15"/>
  <c r="F15"/>
  <c r="E16"/>
  <c r="F16"/>
  <c r="E17"/>
  <c r="F17"/>
  <c r="E18"/>
  <c r="F18"/>
  <c r="E19"/>
  <c r="F19"/>
  <c r="E20"/>
  <c r="F20"/>
  <c r="E24"/>
  <c r="F24"/>
  <c r="E25"/>
  <c r="F25"/>
  <c r="E26"/>
  <c r="F26"/>
  <c r="D1" i="9"/>
  <c r="D4"/>
  <c r="E10"/>
  <c r="E11"/>
  <c r="F11"/>
  <c r="E12"/>
  <c r="F12"/>
  <c r="E13"/>
  <c r="F13"/>
  <c r="E14"/>
  <c r="E40" i="17" s="1"/>
  <c r="F14" i="9"/>
  <c r="E15"/>
  <c r="F15"/>
  <c r="E16"/>
  <c r="F16"/>
  <c r="F45" i="17" s="1"/>
  <c r="E17" i="9"/>
  <c r="F17"/>
  <c r="E18"/>
  <c r="F18"/>
  <c r="E19"/>
  <c r="F19"/>
  <c r="E20"/>
  <c r="F20"/>
  <c r="D25"/>
  <c r="D1" i="8"/>
  <c r="D4"/>
  <c r="C12"/>
  <c r="C15"/>
  <c r="C16"/>
  <c r="E39"/>
  <c r="E44"/>
  <c r="C1" i="7"/>
  <c r="C4"/>
  <c r="B10"/>
  <c r="C10"/>
  <c r="H10"/>
  <c r="D10" s="1"/>
  <c r="E10" s="1"/>
  <c r="B11"/>
  <c r="C11"/>
  <c r="H11"/>
  <c r="D11"/>
  <c r="E11" s="1"/>
  <c r="B12"/>
  <c r="C12"/>
  <c r="H12"/>
  <c r="D12" s="1"/>
  <c r="E12" s="1"/>
  <c r="B13"/>
  <c r="C13"/>
  <c r="H13"/>
  <c r="D13"/>
  <c r="E13" s="1"/>
  <c r="B14"/>
  <c r="C14"/>
  <c r="H14"/>
  <c r="D14" s="1"/>
  <c r="E14" s="1"/>
  <c r="B15"/>
  <c r="C15"/>
  <c r="H15"/>
  <c r="D15"/>
  <c r="E15" s="1"/>
  <c r="B16"/>
  <c r="C16"/>
  <c r="H16"/>
  <c r="D16" s="1"/>
  <c r="E16" s="1"/>
  <c r="B17"/>
  <c r="C17"/>
  <c r="H17"/>
  <c r="D17"/>
  <c r="E17" s="1"/>
  <c r="B18"/>
  <c r="C18"/>
  <c r="H18"/>
  <c r="D18" s="1"/>
  <c r="E18" s="1"/>
  <c r="B19"/>
  <c r="C19"/>
  <c r="H19"/>
  <c r="D19"/>
  <c r="E19" s="1"/>
  <c r="B20"/>
  <c r="C20"/>
  <c r="H20"/>
  <c r="D20" s="1"/>
  <c r="E20" s="1"/>
  <c r="B21"/>
  <c r="C21"/>
  <c r="H21"/>
  <c r="D21"/>
  <c r="E21" s="1"/>
  <c r="B22"/>
  <c r="C22"/>
  <c r="H22"/>
  <c r="D22" s="1"/>
  <c r="E22" s="1"/>
  <c r="B23"/>
  <c r="C23"/>
  <c r="H23"/>
  <c r="D23"/>
  <c r="E23" s="1"/>
  <c r="B24"/>
  <c r="C24"/>
  <c r="H24"/>
  <c r="D24" s="1"/>
  <c r="E24" s="1"/>
  <c r="B25"/>
  <c r="C25"/>
  <c r="H25"/>
  <c r="D25"/>
  <c r="E25" s="1"/>
  <c r="B26"/>
  <c r="C26"/>
  <c r="H26"/>
  <c r="D26" s="1"/>
  <c r="E26" s="1"/>
  <c r="B27"/>
  <c r="C27"/>
  <c r="H27"/>
  <c r="D27"/>
  <c r="E27" s="1"/>
  <c r="B28"/>
  <c r="C28"/>
  <c r="H28"/>
  <c r="D28" s="1"/>
  <c r="E28" s="1"/>
  <c r="B29"/>
  <c r="C29"/>
  <c r="H29"/>
  <c r="D29"/>
  <c r="E29" s="1"/>
  <c r="B30"/>
  <c r="C30"/>
  <c r="H30"/>
  <c r="D30" s="1"/>
  <c r="E30" s="1"/>
  <c r="B31"/>
  <c r="C31"/>
  <c r="H31"/>
  <c r="D31"/>
  <c r="E31" s="1"/>
  <c r="B32"/>
  <c r="C32"/>
  <c r="H32"/>
  <c r="D32" s="1"/>
  <c r="E32" s="1"/>
  <c r="B33"/>
  <c r="C33"/>
  <c r="H33"/>
  <c r="D33"/>
  <c r="E33" s="1"/>
  <c r="B34"/>
  <c r="C34"/>
  <c r="H34"/>
  <c r="D34" s="1"/>
  <c r="E34" s="1"/>
  <c r="B35"/>
  <c r="C35"/>
  <c r="H35"/>
  <c r="D35"/>
  <c r="E35" s="1"/>
  <c r="B36"/>
  <c r="C36"/>
  <c r="H36"/>
  <c r="D36" s="1"/>
  <c r="E36" s="1"/>
  <c r="B37"/>
  <c r="C37"/>
  <c r="H37"/>
  <c r="D37"/>
  <c r="E37" s="1"/>
  <c r="B38"/>
  <c r="C38"/>
  <c r="H38"/>
  <c r="D38" s="1"/>
  <c r="E38" s="1"/>
  <c r="B39"/>
  <c r="C39"/>
  <c r="H39"/>
  <c r="D39"/>
  <c r="E39" s="1"/>
  <c r="B40"/>
  <c r="C40"/>
  <c r="H40"/>
  <c r="D40" s="1"/>
  <c r="E40" s="1"/>
  <c r="B41"/>
  <c r="C41"/>
  <c r="H41"/>
  <c r="D41"/>
  <c r="E41" s="1"/>
  <c r="B42"/>
  <c r="C42"/>
  <c r="H42"/>
  <c r="D42" s="1"/>
  <c r="E42" s="1"/>
  <c r="B43"/>
  <c r="C43"/>
  <c r="H43"/>
  <c r="D43"/>
  <c r="E43" s="1"/>
  <c r="B44"/>
  <c r="C44"/>
  <c r="H44"/>
  <c r="D44" s="1"/>
  <c r="E44" s="1"/>
  <c r="B45"/>
  <c r="C45"/>
  <c r="H45"/>
  <c r="D45"/>
  <c r="E45" s="1"/>
  <c r="B46"/>
  <c r="C46"/>
  <c r="H46"/>
  <c r="D46" s="1"/>
  <c r="E46" s="1"/>
  <c r="B47"/>
  <c r="C47"/>
  <c r="H47"/>
  <c r="D47"/>
  <c r="E47" s="1"/>
  <c r="B48"/>
  <c r="C48"/>
  <c r="H48"/>
  <c r="D48" s="1"/>
  <c r="E48" s="1"/>
  <c r="B49"/>
  <c r="C49"/>
  <c r="H49"/>
  <c r="D49"/>
  <c r="E49" s="1"/>
  <c r="B50"/>
  <c r="C50"/>
  <c r="H50"/>
  <c r="D50" s="1"/>
  <c r="E50" s="1"/>
  <c r="B51"/>
  <c r="C51"/>
  <c r="H51"/>
  <c r="D51"/>
  <c r="E51" s="1"/>
  <c r="B52"/>
  <c r="C52"/>
  <c r="H52"/>
  <c r="D52" s="1"/>
  <c r="E52" s="1"/>
  <c r="B53"/>
  <c r="C53"/>
  <c r="H53"/>
  <c r="D53"/>
  <c r="E53" s="1"/>
  <c r="D54"/>
  <c r="E54" s="1"/>
  <c r="D55"/>
  <c r="E55" s="1"/>
  <c r="D56"/>
  <c r="E56" s="1"/>
  <c r="D57"/>
  <c r="E57" s="1"/>
  <c r="D58"/>
  <c r="E58" s="1"/>
  <c r="D59"/>
  <c r="E59" s="1"/>
  <c r="D60"/>
  <c r="E60" s="1"/>
  <c r="C1" i="26"/>
  <c r="C4"/>
  <c r="E10"/>
  <c r="E62" s="1"/>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D62"/>
  <c r="C1" i="6"/>
  <c r="C4"/>
  <c r="AL9"/>
  <c r="I10"/>
  <c r="L10"/>
  <c r="O10"/>
  <c r="R10"/>
  <c r="U10"/>
  <c r="X10"/>
  <c r="AA10"/>
  <c r="AG10"/>
  <c r="AJ10"/>
  <c r="AL10"/>
  <c r="AM10"/>
  <c r="AO10"/>
  <c r="AQ10"/>
  <c r="D11"/>
  <c r="I11"/>
  <c r="L11"/>
  <c r="O11"/>
  <c r="O18" s="1"/>
  <c r="R11"/>
  <c r="U11"/>
  <c r="X11"/>
  <c r="AA11"/>
  <c r="AA18" s="1"/>
  <c r="AG11"/>
  <c r="AJ11"/>
  <c r="AL11"/>
  <c r="AM11"/>
  <c r="AO11"/>
  <c r="AQ11" s="1"/>
  <c r="I12"/>
  <c r="L12"/>
  <c r="O12"/>
  <c r="R12"/>
  <c r="U12"/>
  <c r="X12"/>
  <c r="AA12"/>
  <c r="AG12"/>
  <c r="AJ12"/>
  <c r="AL12"/>
  <c r="AM12"/>
  <c r="AO12"/>
  <c r="AQ12"/>
  <c r="I13"/>
  <c r="L13"/>
  <c r="O13"/>
  <c r="R13"/>
  <c r="U13"/>
  <c r="X13"/>
  <c r="AA13"/>
  <c r="AG13"/>
  <c r="AJ13"/>
  <c r="AL13"/>
  <c r="AM13"/>
  <c r="AQ13"/>
  <c r="I14"/>
  <c r="L14"/>
  <c r="O14"/>
  <c r="R14"/>
  <c r="U14"/>
  <c r="X14"/>
  <c r="AA14"/>
  <c r="AG14"/>
  <c r="AJ14"/>
  <c r="AL14"/>
  <c r="AM14"/>
  <c r="AO14"/>
  <c r="AQ14" s="1"/>
  <c r="D15"/>
  <c r="E15"/>
  <c r="I15"/>
  <c r="L15"/>
  <c r="O15"/>
  <c r="R15"/>
  <c r="U15"/>
  <c r="X15"/>
  <c r="AA15"/>
  <c r="AG15"/>
  <c r="AJ15"/>
  <c r="AL15"/>
  <c r="AM15"/>
  <c r="AO15"/>
  <c r="AQ15"/>
  <c r="I16"/>
  <c r="L16"/>
  <c r="O16"/>
  <c r="R16"/>
  <c r="U16"/>
  <c r="X16"/>
  <c r="AA16"/>
  <c r="AG16"/>
  <c r="AJ16"/>
  <c r="AL16"/>
  <c r="AM16"/>
  <c r="AO16"/>
  <c r="AQ16" s="1"/>
  <c r="I17"/>
  <c r="L17"/>
  <c r="O17"/>
  <c r="R17"/>
  <c r="U17"/>
  <c r="X17"/>
  <c r="AA17"/>
  <c r="AG17"/>
  <c r="AJ17"/>
  <c r="AL17"/>
  <c r="AM17"/>
  <c r="AO17"/>
  <c r="AQ17"/>
  <c r="D18"/>
  <c r="E18"/>
  <c r="G18"/>
  <c r="H18"/>
  <c r="J18"/>
  <c r="K18"/>
  <c r="M18"/>
  <c r="N18"/>
  <c r="P18"/>
  <c r="Q18"/>
  <c r="S18"/>
  <c r="T18"/>
  <c r="V18"/>
  <c r="W18"/>
  <c r="Y18"/>
  <c r="Z18"/>
  <c r="AE18"/>
  <c r="AF18"/>
  <c r="AH18"/>
  <c r="AI18"/>
  <c r="AN18"/>
  <c r="C1" i="5"/>
  <c r="C4"/>
  <c r="H10"/>
  <c r="H11"/>
  <c r="H12"/>
  <c r="H13"/>
  <c r="H14"/>
  <c r="H15"/>
  <c r="H16"/>
  <c r="H17"/>
  <c r="D18"/>
  <c r="E18"/>
  <c r="G18"/>
  <c r="H18"/>
  <c r="G23"/>
  <c r="G24"/>
  <c r="G25"/>
  <c r="G26"/>
  <c r="G27"/>
  <c r="D28"/>
  <c r="G28"/>
  <c r="C1" i="4"/>
  <c r="C4"/>
  <c r="B10"/>
  <c r="AC10" s="1"/>
  <c r="C10"/>
  <c r="D10"/>
  <c r="E10"/>
  <c r="F10"/>
  <c r="G10"/>
  <c r="H10"/>
  <c r="I10"/>
  <c r="J10"/>
  <c r="K10"/>
  <c r="L10"/>
  <c r="M10"/>
  <c r="N10"/>
  <c r="O10"/>
  <c r="P10"/>
  <c r="Q10"/>
  <c r="R10"/>
  <c r="S10"/>
  <c r="T10"/>
  <c r="U10"/>
  <c r="V10"/>
  <c r="W10"/>
  <c r="X10"/>
  <c r="Y10"/>
  <c r="Z10"/>
  <c r="AD10"/>
  <c r="AE10"/>
  <c r="AF10"/>
  <c r="AN10"/>
  <c r="B11"/>
  <c r="AC11" s="1"/>
  <c r="C11"/>
  <c r="D11"/>
  <c r="E11"/>
  <c r="F11"/>
  <c r="G11"/>
  <c r="H11"/>
  <c r="I11"/>
  <c r="J11"/>
  <c r="K11"/>
  <c r="L11"/>
  <c r="M11"/>
  <c r="N11"/>
  <c r="O11"/>
  <c r="P11"/>
  <c r="Q11"/>
  <c r="R11"/>
  <c r="S11"/>
  <c r="T11"/>
  <c r="U11"/>
  <c r="V11"/>
  <c r="W11"/>
  <c r="X11"/>
  <c r="Y11"/>
  <c r="AA11" s="1"/>
  <c r="Z11"/>
  <c r="AD11"/>
  <c r="AE11"/>
  <c r="AF11"/>
  <c r="AN11"/>
  <c r="B12"/>
  <c r="AC12"/>
  <c r="C12"/>
  <c r="D12"/>
  <c r="E12"/>
  <c r="F12"/>
  <c r="G12"/>
  <c r="H12"/>
  <c r="I12"/>
  <c r="J12"/>
  <c r="K12"/>
  <c r="L12"/>
  <c r="M12"/>
  <c r="N12"/>
  <c r="O12"/>
  <c r="P12"/>
  <c r="Q12"/>
  <c r="R12"/>
  <c r="S12"/>
  <c r="T12"/>
  <c r="U12"/>
  <c r="V12"/>
  <c r="W12"/>
  <c r="X12"/>
  <c r="Y12"/>
  <c r="Z12"/>
  <c r="AD12"/>
  <c r="AE12"/>
  <c r="AF12"/>
  <c r="AN12"/>
  <c r="B13"/>
  <c r="AC13" s="1"/>
  <c r="C13"/>
  <c r="D13"/>
  <c r="E13"/>
  <c r="F13"/>
  <c r="G13"/>
  <c r="H13"/>
  <c r="I13"/>
  <c r="J13"/>
  <c r="K13"/>
  <c r="L13"/>
  <c r="M13"/>
  <c r="N13"/>
  <c r="O13"/>
  <c r="P13"/>
  <c r="Q13"/>
  <c r="R13"/>
  <c r="S13"/>
  <c r="T13"/>
  <c r="U13"/>
  <c r="V13"/>
  <c r="W13"/>
  <c r="X13"/>
  <c r="Y13"/>
  <c r="Z13"/>
  <c r="AD13"/>
  <c r="AE13"/>
  <c r="AF13"/>
  <c r="AN13"/>
  <c r="B14"/>
  <c r="AC14" s="1"/>
  <c r="C14"/>
  <c r="D14"/>
  <c r="E14"/>
  <c r="F14"/>
  <c r="G14"/>
  <c r="H14"/>
  <c r="I14"/>
  <c r="J14"/>
  <c r="K14"/>
  <c r="L14"/>
  <c r="M14"/>
  <c r="N14"/>
  <c r="O14"/>
  <c r="P14"/>
  <c r="Q14"/>
  <c r="R14"/>
  <c r="S14"/>
  <c r="T14"/>
  <c r="U14"/>
  <c r="V14"/>
  <c r="W14"/>
  <c r="X14"/>
  <c r="Y14"/>
  <c r="Z14"/>
  <c r="AD14"/>
  <c r="AE14"/>
  <c r="AF14"/>
  <c r="AN14"/>
  <c r="B15"/>
  <c r="AC15" s="1"/>
  <c r="C15"/>
  <c r="AD15" s="1"/>
  <c r="D15"/>
  <c r="E15"/>
  <c r="F15"/>
  <c r="G15"/>
  <c r="I15"/>
  <c r="H15"/>
  <c r="J15"/>
  <c r="K15"/>
  <c r="L15"/>
  <c r="M15"/>
  <c r="N15"/>
  <c r="O15"/>
  <c r="P15"/>
  <c r="Q15"/>
  <c r="R15"/>
  <c r="S15"/>
  <c r="T15"/>
  <c r="U15"/>
  <c r="V15"/>
  <c r="W15"/>
  <c r="X15"/>
  <c r="Y15"/>
  <c r="Z15"/>
  <c r="AE15"/>
  <c r="AF15"/>
  <c r="AN15"/>
  <c r="B16"/>
  <c r="C16"/>
  <c r="AD16"/>
  <c r="D16"/>
  <c r="E16"/>
  <c r="F16"/>
  <c r="G16"/>
  <c r="H16"/>
  <c r="I16"/>
  <c r="J16"/>
  <c r="K16"/>
  <c r="L16"/>
  <c r="M16"/>
  <c r="N16"/>
  <c r="O16"/>
  <c r="P16"/>
  <c r="Q16"/>
  <c r="R16"/>
  <c r="S16"/>
  <c r="T16"/>
  <c r="U16"/>
  <c r="V16"/>
  <c r="W16"/>
  <c r="X16"/>
  <c r="Y16"/>
  <c r="Z16"/>
  <c r="AC16"/>
  <c r="AE16"/>
  <c r="AF16"/>
  <c r="AN16"/>
  <c r="B17"/>
  <c r="C17"/>
  <c r="AD17"/>
  <c r="D17"/>
  <c r="E17"/>
  <c r="F17"/>
  <c r="G17"/>
  <c r="H17"/>
  <c r="I17"/>
  <c r="J17"/>
  <c r="K17"/>
  <c r="L17"/>
  <c r="M17"/>
  <c r="N17"/>
  <c r="O17"/>
  <c r="P17"/>
  <c r="Q17"/>
  <c r="R17"/>
  <c r="S17"/>
  <c r="T17"/>
  <c r="U17"/>
  <c r="V17"/>
  <c r="W17"/>
  <c r="X17"/>
  <c r="Y17"/>
  <c r="Z17"/>
  <c r="AC17"/>
  <c r="AE17"/>
  <c r="AF17"/>
  <c r="AN17"/>
  <c r="B18"/>
  <c r="C18"/>
  <c r="AD18"/>
  <c r="D18"/>
  <c r="E18"/>
  <c r="F18"/>
  <c r="G18"/>
  <c r="H18"/>
  <c r="I18"/>
  <c r="J18"/>
  <c r="K18"/>
  <c r="L18"/>
  <c r="M18"/>
  <c r="N18"/>
  <c r="O18"/>
  <c r="P18"/>
  <c r="Q18"/>
  <c r="R18"/>
  <c r="S18"/>
  <c r="T18"/>
  <c r="U18"/>
  <c r="V18"/>
  <c r="W18"/>
  <c r="X18"/>
  <c r="Y18"/>
  <c r="Z18"/>
  <c r="AC18"/>
  <c r="AE18"/>
  <c r="AF18"/>
  <c r="AN18"/>
  <c r="B19"/>
  <c r="AC19" s="1"/>
  <c r="C19"/>
  <c r="D19"/>
  <c r="E19"/>
  <c r="F19"/>
  <c r="G19"/>
  <c r="H19"/>
  <c r="I19"/>
  <c r="J19"/>
  <c r="K19"/>
  <c r="L19"/>
  <c r="M19"/>
  <c r="N19"/>
  <c r="O19"/>
  <c r="P19"/>
  <c r="Q19"/>
  <c r="R19"/>
  <c r="S19"/>
  <c r="T19"/>
  <c r="U19"/>
  <c r="V19"/>
  <c r="W19"/>
  <c r="X19"/>
  <c r="Y19"/>
  <c r="Z19"/>
  <c r="AD19"/>
  <c r="AE19"/>
  <c r="AF19"/>
  <c r="AN19"/>
  <c r="B20"/>
  <c r="AC20" s="1"/>
  <c r="C20"/>
  <c r="D20"/>
  <c r="E20"/>
  <c r="F20"/>
  <c r="G20"/>
  <c r="H20"/>
  <c r="I20"/>
  <c r="J20"/>
  <c r="K20"/>
  <c r="L20"/>
  <c r="M20"/>
  <c r="N20"/>
  <c r="O20"/>
  <c r="P20"/>
  <c r="Q20"/>
  <c r="R20"/>
  <c r="S20"/>
  <c r="T20"/>
  <c r="U20"/>
  <c r="V20"/>
  <c r="W20"/>
  <c r="X20"/>
  <c r="Y20"/>
  <c r="Z20"/>
  <c r="AD20"/>
  <c r="AE20"/>
  <c r="AF20"/>
  <c r="AN20"/>
  <c r="B21"/>
  <c r="AC21" s="1"/>
  <c r="C21"/>
  <c r="D21"/>
  <c r="E21"/>
  <c r="F21"/>
  <c r="G21"/>
  <c r="H21"/>
  <c r="I21"/>
  <c r="J21"/>
  <c r="K21"/>
  <c r="L21"/>
  <c r="M21"/>
  <c r="N21"/>
  <c r="O21"/>
  <c r="P21"/>
  <c r="Q21"/>
  <c r="R21"/>
  <c r="S21"/>
  <c r="T21"/>
  <c r="U21"/>
  <c r="V21"/>
  <c r="W21"/>
  <c r="X21"/>
  <c r="Y21"/>
  <c r="Z21"/>
  <c r="AD21"/>
  <c r="AE21"/>
  <c r="AF21"/>
  <c r="AN21"/>
  <c r="B22"/>
  <c r="AC22" s="1"/>
  <c r="C22"/>
  <c r="AD22" s="1"/>
  <c r="D22"/>
  <c r="E22"/>
  <c r="F22"/>
  <c r="G22"/>
  <c r="H22"/>
  <c r="I22"/>
  <c r="J22"/>
  <c r="K22"/>
  <c r="L22"/>
  <c r="M22"/>
  <c r="N22"/>
  <c r="O22"/>
  <c r="P22"/>
  <c r="Q22"/>
  <c r="R22"/>
  <c r="S22"/>
  <c r="T22"/>
  <c r="U22"/>
  <c r="V22"/>
  <c r="W22"/>
  <c r="X22"/>
  <c r="Y22"/>
  <c r="Z22"/>
  <c r="AE22"/>
  <c r="AF22"/>
  <c r="AN22"/>
  <c r="B23"/>
  <c r="AC23" s="1"/>
  <c r="C23"/>
  <c r="D23"/>
  <c r="E23"/>
  <c r="F23"/>
  <c r="G23"/>
  <c r="H23"/>
  <c r="I23"/>
  <c r="J23"/>
  <c r="K23"/>
  <c r="L23"/>
  <c r="M23"/>
  <c r="N23"/>
  <c r="O23"/>
  <c r="P23"/>
  <c r="Q23"/>
  <c r="R23"/>
  <c r="S23"/>
  <c r="T23"/>
  <c r="U23"/>
  <c r="V23"/>
  <c r="W23"/>
  <c r="X23"/>
  <c r="Y23"/>
  <c r="Z23"/>
  <c r="AD23"/>
  <c r="AE23"/>
  <c r="AF23"/>
  <c r="AN23"/>
  <c r="B24"/>
  <c r="AC24" s="1"/>
  <c r="C24"/>
  <c r="D24"/>
  <c r="E24"/>
  <c r="F24"/>
  <c r="G24"/>
  <c r="H24"/>
  <c r="I24"/>
  <c r="J24"/>
  <c r="K24"/>
  <c r="L24"/>
  <c r="M24"/>
  <c r="N24"/>
  <c r="O24"/>
  <c r="P24"/>
  <c r="Q24"/>
  <c r="R24"/>
  <c r="S24"/>
  <c r="T24"/>
  <c r="U24"/>
  <c r="V24"/>
  <c r="W24"/>
  <c r="X24"/>
  <c r="Y24"/>
  <c r="Z24"/>
  <c r="AD24"/>
  <c r="AE24"/>
  <c r="AF24"/>
  <c r="AN24"/>
  <c r="B25"/>
  <c r="AC25" s="1"/>
  <c r="C25"/>
  <c r="D25"/>
  <c r="E25"/>
  <c r="F25"/>
  <c r="G25"/>
  <c r="H25"/>
  <c r="I25"/>
  <c r="J25"/>
  <c r="K25"/>
  <c r="L25"/>
  <c r="M25"/>
  <c r="N25"/>
  <c r="O25"/>
  <c r="P25"/>
  <c r="Q25"/>
  <c r="R25"/>
  <c r="S25"/>
  <c r="T25"/>
  <c r="U25"/>
  <c r="V25"/>
  <c r="W25"/>
  <c r="X25"/>
  <c r="Y25"/>
  <c r="Z25"/>
  <c r="AD25"/>
  <c r="AE25"/>
  <c r="AF25"/>
  <c r="AN25"/>
  <c r="B26"/>
  <c r="AC26" s="1"/>
  <c r="C26"/>
  <c r="D26"/>
  <c r="E26"/>
  <c r="F26"/>
  <c r="G26"/>
  <c r="H26"/>
  <c r="I26"/>
  <c r="J26"/>
  <c r="K26"/>
  <c r="L26"/>
  <c r="M26"/>
  <c r="N26"/>
  <c r="O26"/>
  <c r="P26"/>
  <c r="Q26"/>
  <c r="R26"/>
  <c r="S26"/>
  <c r="T26"/>
  <c r="U26"/>
  <c r="V26"/>
  <c r="W26"/>
  <c r="X26"/>
  <c r="Y26"/>
  <c r="Z26"/>
  <c r="AD26"/>
  <c r="AE26"/>
  <c r="AF26"/>
  <c r="AN26"/>
  <c r="B27"/>
  <c r="AC27" s="1"/>
  <c r="C27"/>
  <c r="D27"/>
  <c r="E27"/>
  <c r="F27"/>
  <c r="G27"/>
  <c r="H27"/>
  <c r="I27"/>
  <c r="J27"/>
  <c r="K27"/>
  <c r="L27"/>
  <c r="M27"/>
  <c r="N27"/>
  <c r="O27"/>
  <c r="P27"/>
  <c r="Q27"/>
  <c r="R27"/>
  <c r="S27"/>
  <c r="T27"/>
  <c r="U27"/>
  <c r="V27"/>
  <c r="W27"/>
  <c r="X27"/>
  <c r="Y27"/>
  <c r="Z27"/>
  <c r="AD27"/>
  <c r="AE27"/>
  <c r="AF27"/>
  <c r="AN27"/>
  <c r="B28"/>
  <c r="AC28" s="1"/>
  <c r="C28"/>
  <c r="D28"/>
  <c r="E28"/>
  <c r="F28"/>
  <c r="G28"/>
  <c r="H28"/>
  <c r="I28"/>
  <c r="J28"/>
  <c r="K28"/>
  <c r="L28"/>
  <c r="M28"/>
  <c r="N28"/>
  <c r="O28"/>
  <c r="P28"/>
  <c r="Q28"/>
  <c r="R28"/>
  <c r="S28"/>
  <c r="T28"/>
  <c r="U28"/>
  <c r="V28"/>
  <c r="W28"/>
  <c r="X28"/>
  <c r="Y28"/>
  <c r="Z28"/>
  <c r="AD28"/>
  <c r="AE28"/>
  <c r="AF28"/>
  <c r="AN28"/>
  <c r="B29"/>
  <c r="AC29" s="1"/>
  <c r="C29"/>
  <c r="D29"/>
  <c r="E29"/>
  <c r="F29"/>
  <c r="G29"/>
  <c r="H29"/>
  <c r="I29"/>
  <c r="J29"/>
  <c r="K29"/>
  <c r="L29"/>
  <c r="M29"/>
  <c r="N29"/>
  <c r="O29"/>
  <c r="P29"/>
  <c r="Q29"/>
  <c r="R29"/>
  <c r="S29"/>
  <c r="T29"/>
  <c r="U29"/>
  <c r="V29"/>
  <c r="W29"/>
  <c r="X29"/>
  <c r="Y29"/>
  <c r="Z29"/>
  <c r="AD29"/>
  <c r="AE29"/>
  <c r="AF29"/>
  <c r="AN29"/>
  <c r="B30"/>
  <c r="AC30"/>
  <c r="C30"/>
  <c r="D30"/>
  <c r="E30"/>
  <c r="F30"/>
  <c r="G30"/>
  <c r="H30"/>
  <c r="I30"/>
  <c r="J30"/>
  <c r="K30"/>
  <c r="L30"/>
  <c r="M30"/>
  <c r="N30"/>
  <c r="O30"/>
  <c r="P30"/>
  <c r="Q30"/>
  <c r="R30"/>
  <c r="S30"/>
  <c r="T30"/>
  <c r="U30"/>
  <c r="V30"/>
  <c r="W30"/>
  <c r="X30"/>
  <c r="Y30"/>
  <c r="Z30"/>
  <c r="AD30"/>
  <c r="AE30"/>
  <c r="AF30"/>
  <c r="AN30"/>
  <c r="B31"/>
  <c r="AC31"/>
  <c r="C31"/>
  <c r="D31"/>
  <c r="E31"/>
  <c r="F31"/>
  <c r="G31"/>
  <c r="H31"/>
  <c r="I31"/>
  <c r="J31"/>
  <c r="K31"/>
  <c r="L31"/>
  <c r="M31"/>
  <c r="N31"/>
  <c r="O31"/>
  <c r="P31"/>
  <c r="Q31"/>
  <c r="R31"/>
  <c r="S31"/>
  <c r="T31"/>
  <c r="U31"/>
  <c r="V31"/>
  <c r="W31"/>
  <c r="X31"/>
  <c r="Y31"/>
  <c r="Z31"/>
  <c r="AD31"/>
  <c r="AE31"/>
  <c r="AF31"/>
  <c r="AN31"/>
  <c r="B32"/>
  <c r="AC32"/>
  <c r="C32"/>
  <c r="D32"/>
  <c r="E32"/>
  <c r="F32"/>
  <c r="G32"/>
  <c r="H32"/>
  <c r="I32"/>
  <c r="J32"/>
  <c r="K32"/>
  <c r="L32"/>
  <c r="M32"/>
  <c r="N32"/>
  <c r="O32"/>
  <c r="P32"/>
  <c r="Q32"/>
  <c r="R32"/>
  <c r="S32"/>
  <c r="T32"/>
  <c r="U32"/>
  <c r="V32"/>
  <c r="W32"/>
  <c r="X32"/>
  <c r="Y32"/>
  <c r="Z32"/>
  <c r="AD32"/>
  <c r="AE32"/>
  <c r="AF32"/>
  <c r="AN32"/>
  <c r="B33"/>
  <c r="AC33"/>
  <c r="C33"/>
  <c r="D33"/>
  <c r="E33"/>
  <c r="F33"/>
  <c r="G33"/>
  <c r="H33"/>
  <c r="I33"/>
  <c r="J33"/>
  <c r="K33"/>
  <c r="L33"/>
  <c r="M33"/>
  <c r="N33"/>
  <c r="O33"/>
  <c r="P33"/>
  <c r="Q33"/>
  <c r="R33"/>
  <c r="S33"/>
  <c r="T33"/>
  <c r="U33"/>
  <c r="V33"/>
  <c r="W33"/>
  <c r="X33"/>
  <c r="Y33"/>
  <c r="Z33"/>
  <c r="AD33"/>
  <c r="AE33"/>
  <c r="AF33"/>
  <c r="AN33"/>
  <c r="B34"/>
  <c r="AC34"/>
  <c r="C34"/>
  <c r="D34"/>
  <c r="E34"/>
  <c r="F34"/>
  <c r="G34"/>
  <c r="H34"/>
  <c r="I34"/>
  <c r="J34"/>
  <c r="K34"/>
  <c r="L34"/>
  <c r="M34"/>
  <c r="N34"/>
  <c r="O34"/>
  <c r="P34"/>
  <c r="Q34"/>
  <c r="R34"/>
  <c r="S34"/>
  <c r="T34"/>
  <c r="U34"/>
  <c r="V34"/>
  <c r="W34"/>
  <c r="X34"/>
  <c r="Y34"/>
  <c r="Z34"/>
  <c r="AD34"/>
  <c r="AE34"/>
  <c r="AF34"/>
  <c r="AN34"/>
  <c r="B35"/>
  <c r="AC35"/>
  <c r="C35"/>
  <c r="D35"/>
  <c r="E35"/>
  <c r="F35"/>
  <c r="G35"/>
  <c r="H35"/>
  <c r="I35"/>
  <c r="J35"/>
  <c r="K35"/>
  <c r="L35"/>
  <c r="M35"/>
  <c r="N35"/>
  <c r="O35"/>
  <c r="P35"/>
  <c r="Q35"/>
  <c r="R35"/>
  <c r="S35"/>
  <c r="T35"/>
  <c r="U35"/>
  <c r="V35"/>
  <c r="W35"/>
  <c r="X35"/>
  <c r="Y35"/>
  <c r="Z35"/>
  <c r="AD35"/>
  <c r="AE35"/>
  <c r="AF35"/>
  <c r="AN35"/>
  <c r="B36"/>
  <c r="AC36"/>
  <c r="C36"/>
  <c r="D36"/>
  <c r="E36"/>
  <c r="F36"/>
  <c r="G36"/>
  <c r="H36"/>
  <c r="I36"/>
  <c r="J36"/>
  <c r="K36"/>
  <c r="L36"/>
  <c r="M36"/>
  <c r="N36"/>
  <c r="O36"/>
  <c r="P36"/>
  <c r="Q36"/>
  <c r="R36"/>
  <c r="S36"/>
  <c r="T36"/>
  <c r="U36"/>
  <c r="V36"/>
  <c r="W36"/>
  <c r="X36"/>
  <c r="Y36"/>
  <c r="Z36"/>
  <c r="AD36"/>
  <c r="AE36"/>
  <c r="AF36"/>
  <c r="AN36"/>
  <c r="B37"/>
  <c r="AC37"/>
  <c r="C37"/>
  <c r="D37"/>
  <c r="E37"/>
  <c r="F37"/>
  <c r="G37"/>
  <c r="H37"/>
  <c r="I37"/>
  <c r="J37"/>
  <c r="K37"/>
  <c r="L37"/>
  <c r="M37"/>
  <c r="N37"/>
  <c r="O37"/>
  <c r="P37"/>
  <c r="Q37"/>
  <c r="R37"/>
  <c r="S37"/>
  <c r="T37"/>
  <c r="U37"/>
  <c r="V37"/>
  <c r="W37"/>
  <c r="X37"/>
  <c r="Y37"/>
  <c r="Z37"/>
  <c r="AD37"/>
  <c r="AE37"/>
  <c r="AF37"/>
  <c r="AN37"/>
  <c r="B38"/>
  <c r="AC38"/>
  <c r="C38"/>
  <c r="D38"/>
  <c r="E38"/>
  <c r="F38"/>
  <c r="G38"/>
  <c r="H38"/>
  <c r="I38"/>
  <c r="J38"/>
  <c r="K38"/>
  <c r="L38"/>
  <c r="M38"/>
  <c r="N38"/>
  <c r="O38"/>
  <c r="P38"/>
  <c r="Q38"/>
  <c r="R38"/>
  <c r="S38"/>
  <c r="T38"/>
  <c r="U38"/>
  <c r="V38"/>
  <c r="W38"/>
  <c r="X38"/>
  <c r="Y38"/>
  <c r="Z38"/>
  <c r="AD38"/>
  <c r="AE38"/>
  <c r="AF38"/>
  <c r="AN38"/>
  <c r="B39"/>
  <c r="AC39"/>
  <c r="C39"/>
  <c r="AD39"/>
  <c r="D39"/>
  <c r="E39"/>
  <c r="F39"/>
  <c r="G39"/>
  <c r="H39"/>
  <c r="I39"/>
  <c r="J39"/>
  <c r="K39"/>
  <c r="L39"/>
  <c r="M39"/>
  <c r="N39"/>
  <c r="O39"/>
  <c r="P39"/>
  <c r="Q39"/>
  <c r="R39"/>
  <c r="S39"/>
  <c r="T39"/>
  <c r="U39"/>
  <c r="V39"/>
  <c r="W39"/>
  <c r="X39"/>
  <c r="Y39"/>
  <c r="AA39" s="1"/>
  <c r="Z39"/>
  <c r="AE39"/>
  <c r="AF39"/>
  <c r="AN39"/>
  <c r="B40"/>
  <c r="AC40" s="1"/>
  <c r="C40"/>
  <c r="D40"/>
  <c r="E40"/>
  <c r="F40"/>
  <c r="G40"/>
  <c r="H40"/>
  <c r="I40"/>
  <c r="J40"/>
  <c r="K40"/>
  <c r="L40"/>
  <c r="M40"/>
  <c r="N40"/>
  <c r="O40"/>
  <c r="P40"/>
  <c r="Q40"/>
  <c r="R40"/>
  <c r="S40"/>
  <c r="T40"/>
  <c r="U40"/>
  <c r="V40"/>
  <c r="W40"/>
  <c r="X40"/>
  <c r="Y40"/>
  <c r="Z40"/>
  <c r="AD40"/>
  <c r="AE40"/>
  <c r="AF40"/>
  <c r="AN40"/>
  <c r="B41"/>
  <c r="AC41" s="1"/>
  <c r="C41"/>
  <c r="D41"/>
  <c r="E41"/>
  <c r="F41"/>
  <c r="G41"/>
  <c r="H41"/>
  <c r="I41"/>
  <c r="J41"/>
  <c r="K41"/>
  <c r="L41"/>
  <c r="M41"/>
  <c r="N41"/>
  <c r="O41"/>
  <c r="P41"/>
  <c r="Q41"/>
  <c r="R41"/>
  <c r="S41"/>
  <c r="T41"/>
  <c r="U41"/>
  <c r="V41"/>
  <c r="W41"/>
  <c r="X41"/>
  <c r="Y41"/>
  <c r="Z41"/>
  <c r="AD41"/>
  <c r="AE41"/>
  <c r="AF41"/>
  <c r="AN41"/>
  <c r="B42"/>
  <c r="AC42" s="1"/>
  <c r="C42"/>
  <c r="D42"/>
  <c r="E42"/>
  <c r="F42"/>
  <c r="G42"/>
  <c r="H42"/>
  <c r="I42"/>
  <c r="J42"/>
  <c r="K42"/>
  <c r="L42"/>
  <c r="M42"/>
  <c r="N42"/>
  <c r="O42"/>
  <c r="P42"/>
  <c r="Q42"/>
  <c r="R42"/>
  <c r="S42"/>
  <c r="T42"/>
  <c r="U42"/>
  <c r="V42"/>
  <c r="W42"/>
  <c r="X42"/>
  <c r="Y42"/>
  <c r="AA42" s="1"/>
  <c r="Z42"/>
  <c r="AD42"/>
  <c r="AE42"/>
  <c r="AF42"/>
  <c r="AN42"/>
  <c r="B43"/>
  <c r="AC43" s="1"/>
  <c r="C43"/>
  <c r="D43"/>
  <c r="E43"/>
  <c r="F43"/>
  <c r="G43"/>
  <c r="H43"/>
  <c r="I43"/>
  <c r="J43"/>
  <c r="K43"/>
  <c r="L43"/>
  <c r="M43"/>
  <c r="N43"/>
  <c r="O43"/>
  <c r="P43"/>
  <c r="Q43"/>
  <c r="R43"/>
  <c r="S43"/>
  <c r="T43"/>
  <c r="U43"/>
  <c r="V43"/>
  <c r="W43"/>
  <c r="X43"/>
  <c r="Y43"/>
  <c r="Z43"/>
  <c r="AD43"/>
  <c r="AE43"/>
  <c r="AF43"/>
  <c r="AN43"/>
  <c r="B44"/>
  <c r="AC44" s="1"/>
  <c r="C44"/>
  <c r="AD44" s="1"/>
  <c r="D44"/>
  <c r="E44"/>
  <c r="F44"/>
  <c r="G44"/>
  <c r="H44"/>
  <c r="I44"/>
  <c r="J44"/>
  <c r="K44"/>
  <c r="L44"/>
  <c r="M44"/>
  <c r="N44"/>
  <c r="O44"/>
  <c r="P44"/>
  <c r="Q44"/>
  <c r="R44"/>
  <c r="S44"/>
  <c r="T44"/>
  <c r="U44"/>
  <c r="V44"/>
  <c r="W44"/>
  <c r="X44"/>
  <c r="Y44"/>
  <c r="AA44" s="1"/>
  <c r="Z44"/>
  <c r="AE44"/>
  <c r="AF44"/>
  <c r="AN44"/>
  <c r="B45"/>
  <c r="AC45"/>
  <c r="C45"/>
  <c r="D45"/>
  <c r="E45"/>
  <c r="F45"/>
  <c r="G45"/>
  <c r="H45"/>
  <c r="I45"/>
  <c r="J45"/>
  <c r="K45"/>
  <c r="L45"/>
  <c r="M45"/>
  <c r="N45"/>
  <c r="O45"/>
  <c r="P45"/>
  <c r="Q45"/>
  <c r="R45"/>
  <c r="S45"/>
  <c r="T45"/>
  <c r="U45"/>
  <c r="V45"/>
  <c r="W45"/>
  <c r="X45"/>
  <c r="Y45"/>
  <c r="Z45"/>
  <c r="AD45"/>
  <c r="AE45"/>
  <c r="AF45"/>
  <c r="AN45"/>
  <c r="B46"/>
  <c r="AC46"/>
  <c r="C46"/>
  <c r="D46"/>
  <c r="E46"/>
  <c r="F46"/>
  <c r="G46"/>
  <c r="H46"/>
  <c r="I46"/>
  <c r="J46"/>
  <c r="K46"/>
  <c r="L46"/>
  <c r="M46"/>
  <c r="N46"/>
  <c r="O46"/>
  <c r="P46"/>
  <c r="Q46"/>
  <c r="R46"/>
  <c r="S46"/>
  <c r="T46"/>
  <c r="U46"/>
  <c r="V46"/>
  <c r="W46"/>
  <c r="X46"/>
  <c r="Y46"/>
  <c r="Z46"/>
  <c r="AD46"/>
  <c r="AE46"/>
  <c r="AF46"/>
  <c r="AN46"/>
  <c r="B47"/>
  <c r="AC47"/>
  <c r="C47"/>
  <c r="D47"/>
  <c r="E47"/>
  <c r="F47"/>
  <c r="G47"/>
  <c r="H47"/>
  <c r="I47"/>
  <c r="J47"/>
  <c r="K47"/>
  <c r="L47"/>
  <c r="M47"/>
  <c r="N47"/>
  <c r="O47"/>
  <c r="P47"/>
  <c r="Q47"/>
  <c r="R47"/>
  <c r="S47"/>
  <c r="T47"/>
  <c r="U47"/>
  <c r="V47"/>
  <c r="W47"/>
  <c r="X47"/>
  <c r="Y47"/>
  <c r="Z47"/>
  <c r="AD47"/>
  <c r="AE47"/>
  <c r="AF47"/>
  <c r="AN47"/>
  <c r="B48"/>
  <c r="AC48"/>
  <c r="C48"/>
  <c r="D48"/>
  <c r="E48"/>
  <c r="F48"/>
  <c r="G48"/>
  <c r="H48"/>
  <c r="I48"/>
  <c r="J48"/>
  <c r="K48"/>
  <c r="L48"/>
  <c r="M48"/>
  <c r="N48"/>
  <c r="O48"/>
  <c r="P48"/>
  <c r="Q48"/>
  <c r="R48"/>
  <c r="S48"/>
  <c r="T48"/>
  <c r="U48"/>
  <c r="V48"/>
  <c r="W48"/>
  <c r="X48"/>
  <c r="Y48"/>
  <c r="AA48"/>
  <c r="Z48"/>
  <c r="AD48"/>
  <c r="AE48"/>
  <c r="AF48"/>
  <c r="AN48"/>
  <c r="B49"/>
  <c r="AC49" s="1"/>
  <c r="C49"/>
  <c r="D49"/>
  <c r="E49"/>
  <c r="F49"/>
  <c r="G49"/>
  <c r="H49"/>
  <c r="I49"/>
  <c r="J49"/>
  <c r="K49"/>
  <c r="L49"/>
  <c r="M49"/>
  <c r="N49"/>
  <c r="O49"/>
  <c r="P49"/>
  <c r="Q49"/>
  <c r="R49"/>
  <c r="S49"/>
  <c r="T49"/>
  <c r="U49"/>
  <c r="V49"/>
  <c r="W49"/>
  <c r="X49"/>
  <c r="Y49"/>
  <c r="Z49"/>
  <c r="AD49"/>
  <c r="AE49"/>
  <c r="AF49"/>
  <c r="AN49"/>
  <c r="B50"/>
  <c r="AC50" s="1"/>
  <c r="C50"/>
  <c r="D50"/>
  <c r="E50"/>
  <c r="F50"/>
  <c r="G50"/>
  <c r="H50"/>
  <c r="I50"/>
  <c r="J50"/>
  <c r="K50"/>
  <c r="L50"/>
  <c r="M50"/>
  <c r="N50"/>
  <c r="O50"/>
  <c r="P50"/>
  <c r="Q50"/>
  <c r="R50"/>
  <c r="S50"/>
  <c r="T50"/>
  <c r="U50"/>
  <c r="V50"/>
  <c r="W50"/>
  <c r="X50"/>
  <c r="Y50"/>
  <c r="AA50" s="1"/>
  <c r="Z50"/>
  <c r="AD50"/>
  <c r="AE50"/>
  <c r="AF50"/>
  <c r="AN50"/>
  <c r="B51"/>
  <c r="AC51" s="1"/>
  <c r="C51"/>
  <c r="D51"/>
  <c r="F51"/>
  <c r="E51"/>
  <c r="G51"/>
  <c r="H51"/>
  <c r="I51"/>
  <c r="J51"/>
  <c r="K51"/>
  <c r="L51"/>
  <c r="M51"/>
  <c r="N51"/>
  <c r="O51"/>
  <c r="P51"/>
  <c r="Q51"/>
  <c r="R51"/>
  <c r="S51"/>
  <c r="T51"/>
  <c r="U51"/>
  <c r="V51"/>
  <c r="W51"/>
  <c r="X51"/>
  <c r="Y51"/>
  <c r="Z51"/>
  <c r="AD51"/>
  <c r="AE51"/>
  <c r="AF51"/>
  <c r="AN51"/>
  <c r="B52"/>
  <c r="AC52" s="1"/>
  <c r="C52"/>
  <c r="AD52"/>
  <c r="D52"/>
  <c r="E52"/>
  <c r="F52"/>
  <c r="G52"/>
  <c r="H52"/>
  <c r="I52"/>
  <c r="J52"/>
  <c r="K52"/>
  <c r="L52"/>
  <c r="M52"/>
  <c r="N52"/>
  <c r="O52"/>
  <c r="P52"/>
  <c r="Q52"/>
  <c r="R52"/>
  <c r="S52"/>
  <c r="T52"/>
  <c r="U52"/>
  <c r="V52"/>
  <c r="W52"/>
  <c r="X52"/>
  <c r="Y52"/>
  <c r="AA52" s="1"/>
  <c r="Z52"/>
  <c r="AE52"/>
  <c r="AF52"/>
  <c r="AN52"/>
  <c r="B53"/>
  <c r="AC53"/>
  <c r="C53"/>
  <c r="D53"/>
  <c r="E53"/>
  <c r="F53"/>
  <c r="G53"/>
  <c r="H53"/>
  <c r="I53"/>
  <c r="J53"/>
  <c r="K53"/>
  <c r="L53"/>
  <c r="M53"/>
  <c r="N53"/>
  <c r="O53"/>
  <c r="P53"/>
  <c r="Q53"/>
  <c r="R53"/>
  <c r="S53"/>
  <c r="T53"/>
  <c r="U53"/>
  <c r="V53"/>
  <c r="W53"/>
  <c r="X53"/>
  <c r="Y53"/>
  <c r="Z53"/>
  <c r="AD53"/>
  <c r="AE53"/>
  <c r="AF53"/>
  <c r="AN53"/>
  <c r="B54"/>
  <c r="C54"/>
  <c r="AD54" s="1"/>
  <c r="D54"/>
  <c r="E54"/>
  <c r="F54"/>
  <c r="G54"/>
  <c r="H54"/>
  <c r="I54"/>
  <c r="J54"/>
  <c r="K54"/>
  <c r="L54"/>
  <c r="M54"/>
  <c r="N54"/>
  <c r="O54"/>
  <c r="P54"/>
  <c r="Q54"/>
  <c r="R54"/>
  <c r="S54"/>
  <c r="T54"/>
  <c r="U54"/>
  <c r="V54"/>
  <c r="W54"/>
  <c r="X54"/>
  <c r="Y54"/>
  <c r="Z54"/>
  <c r="AC54"/>
  <c r="AE54"/>
  <c r="AF54"/>
  <c r="AN54"/>
  <c r="B55"/>
  <c r="C55"/>
  <c r="AD55" s="1"/>
  <c r="D55"/>
  <c r="E55"/>
  <c r="F55"/>
  <c r="G55"/>
  <c r="H55"/>
  <c r="I55"/>
  <c r="J55"/>
  <c r="K55"/>
  <c r="L55"/>
  <c r="M55"/>
  <c r="N55"/>
  <c r="O55"/>
  <c r="P55"/>
  <c r="R55" s="1"/>
  <c r="Q55"/>
  <c r="S55"/>
  <c r="T55"/>
  <c r="U55"/>
  <c r="V55"/>
  <c r="X55" s="1"/>
  <c r="AH55" s="1"/>
  <c r="W55"/>
  <c r="Y55"/>
  <c r="Z55"/>
  <c r="AC55"/>
  <c r="AE55"/>
  <c r="AF55"/>
  <c r="AN55"/>
  <c r="B56"/>
  <c r="C56"/>
  <c r="AD56"/>
  <c r="D56"/>
  <c r="E56"/>
  <c r="F56"/>
  <c r="G56"/>
  <c r="H56"/>
  <c r="I56"/>
  <c r="J56"/>
  <c r="K56"/>
  <c r="L56"/>
  <c r="M56"/>
  <c r="N56"/>
  <c r="O56"/>
  <c r="P56"/>
  <c r="Q56"/>
  <c r="R56"/>
  <c r="S56"/>
  <c r="T56"/>
  <c r="U56"/>
  <c r="V56"/>
  <c r="W56"/>
  <c r="X56"/>
  <c r="Y56"/>
  <c r="AA56" s="1"/>
  <c r="Z56"/>
  <c r="AC56"/>
  <c r="AE56"/>
  <c r="AF56"/>
  <c r="AN56"/>
  <c r="B57"/>
  <c r="AC57" s="1"/>
  <c r="C57"/>
  <c r="AD57"/>
  <c r="D57"/>
  <c r="E57"/>
  <c r="F57"/>
  <c r="G57"/>
  <c r="I57" s="1"/>
  <c r="H57"/>
  <c r="J57"/>
  <c r="K57"/>
  <c r="L57"/>
  <c r="M57"/>
  <c r="O57" s="1"/>
  <c r="N57"/>
  <c r="AG57"/>
  <c r="AI57" s="1"/>
  <c r="P57"/>
  <c r="Q57"/>
  <c r="R57"/>
  <c r="S57"/>
  <c r="T57"/>
  <c r="U57"/>
  <c r="V57"/>
  <c r="W57"/>
  <c r="X57"/>
  <c r="Y57"/>
  <c r="Z57"/>
  <c r="AE57"/>
  <c r="AF57"/>
  <c r="AN57"/>
  <c r="B58"/>
  <c r="AC58"/>
  <c r="C58"/>
  <c r="D58"/>
  <c r="F58" s="1"/>
  <c r="E58"/>
  <c r="G58"/>
  <c r="H58"/>
  <c r="I58"/>
  <c r="J58"/>
  <c r="L58" s="1"/>
  <c r="K58"/>
  <c r="M58"/>
  <c r="N58"/>
  <c r="O58"/>
  <c r="P58"/>
  <c r="Q58"/>
  <c r="R58"/>
  <c r="R70" s="1"/>
  <c r="R20" i="13" s="1"/>
  <c r="F50" i="17" s="1"/>
  <c r="S58" i="4"/>
  <c r="T58"/>
  <c r="U58"/>
  <c r="V58"/>
  <c r="W58"/>
  <c r="X58"/>
  <c r="Y58"/>
  <c r="Z58"/>
  <c r="AD58"/>
  <c r="AE58"/>
  <c r="AF58"/>
  <c r="AN58"/>
  <c r="B59"/>
  <c r="C59"/>
  <c r="AD59" s="1"/>
  <c r="D59"/>
  <c r="F59" s="1"/>
  <c r="E59"/>
  <c r="AG59" s="1"/>
  <c r="AJ59" s="1"/>
  <c r="G59"/>
  <c r="H59"/>
  <c r="I59"/>
  <c r="J59"/>
  <c r="K59"/>
  <c r="L59"/>
  <c r="M59"/>
  <c r="N59"/>
  <c r="O59"/>
  <c r="P59"/>
  <c r="Q59"/>
  <c r="R59"/>
  <c r="S59"/>
  <c r="T59"/>
  <c r="U59"/>
  <c r="V59"/>
  <c r="W59"/>
  <c r="X59"/>
  <c r="Y59"/>
  <c r="Z59"/>
  <c r="AC59"/>
  <c r="AE59"/>
  <c r="AF59"/>
  <c r="AN59"/>
  <c r="B60"/>
  <c r="AC60"/>
  <c r="C60"/>
  <c r="D60"/>
  <c r="F60" s="1"/>
  <c r="E60"/>
  <c r="G60"/>
  <c r="H60"/>
  <c r="I60"/>
  <c r="J60"/>
  <c r="K60"/>
  <c r="L60"/>
  <c r="M60"/>
  <c r="N60"/>
  <c r="O60"/>
  <c r="P60"/>
  <c r="Q60"/>
  <c r="R60"/>
  <c r="S60"/>
  <c r="T60"/>
  <c r="U60"/>
  <c r="V60"/>
  <c r="W60"/>
  <c r="X60"/>
  <c r="Y60"/>
  <c r="Z60"/>
  <c r="AD60"/>
  <c r="AE60"/>
  <c r="AF60"/>
  <c r="AN60"/>
  <c r="B61"/>
  <c r="C61"/>
  <c r="AD61" s="1"/>
  <c r="D61"/>
  <c r="E61"/>
  <c r="F61"/>
  <c r="G61"/>
  <c r="H61"/>
  <c r="I61"/>
  <c r="J61"/>
  <c r="K61"/>
  <c r="L61"/>
  <c r="M61"/>
  <c r="N61"/>
  <c r="O61"/>
  <c r="P61"/>
  <c r="Q61"/>
  <c r="R61"/>
  <c r="S61"/>
  <c r="T61"/>
  <c r="U61"/>
  <c r="V61"/>
  <c r="W61"/>
  <c r="X61"/>
  <c r="Y61"/>
  <c r="Z61"/>
  <c r="AC61"/>
  <c r="AE61"/>
  <c r="AF61"/>
  <c r="AN61"/>
  <c r="B62"/>
  <c r="AC62"/>
  <c r="C62"/>
  <c r="D62"/>
  <c r="F62" s="1"/>
  <c r="E62"/>
  <c r="G62"/>
  <c r="H62"/>
  <c r="I62"/>
  <c r="J62"/>
  <c r="L62" s="1"/>
  <c r="K62"/>
  <c r="M62"/>
  <c r="N62"/>
  <c r="O62"/>
  <c r="P62"/>
  <c r="Q62"/>
  <c r="R62"/>
  <c r="S62"/>
  <c r="T62"/>
  <c r="U62"/>
  <c r="V62"/>
  <c r="W62"/>
  <c r="X62"/>
  <c r="Y62"/>
  <c r="Z62"/>
  <c r="AD62"/>
  <c r="AE62"/>
  <c r="AF62"/>
  <c r="AN62"/>
  <c r="B63"/>
  <c r="AC63"/>
  <c r="C63"/>
  <c r="AD63"/>
  <c r="D63"/>
  <c r="E63"/>
  <c r="F63"/>
  <c r="G63"/>
  <c r="H63"/>
  <c r="I63"/>
  <c r="J63"/>
  <c r="K63"/>
  <c r="L63"/>
  <c r="M63"/>
  <c r="N63"/>
  <c r="O63"/>
  <c r="P63"/>
  <c r="Q63"/>
  <c r="R63"/>
  <c r="S63"/>
  <c r="T63"/>
  <c r="U63"/>
  <c r="V63"/>
  <c r="W63"/>
  <c r="X63"/>
  <c r="Y63"/>
  <c r="Z63"/>
  <c r="AE63"/>
  <c r="AF63"/>
  <c r="AN63"/>
  <c r="B64"/>
  <c r="C64"/>
  <c r="AD64" s="1"/>
  <c r="D64"/>
  <c r="F64" s="1"/>
  <c r="E64"/>
  <c r="G64"/>
  <c r="H64"/>
  <c r="I64"/>
  <c r="J64"/>
  <c r="K64"/>
  <c r="L64"/>
  <c r="M64"/>
  <c r="N64"/>
  <c r="O64"/>
  <c r="P64"/>
  <c r="Q64"/>
  <c r="R64"/>
  <c r="S64"/>
  <c r="T64"/>
  <c r="U64"/>
  <c r="V64"/>
  <c r="W64"/>
  <c r="X64"/>
  <c r="Y64"/>
  <c r="AA64"/>
  <c r="Z64"/>
  <c r="AC64"/>
  <c r="AE64"/>
  <c r="AF64"/>
  <c r="AN64"/>
  <c r="B65"/>
  <c r="C65"/>
  <c r="AD65"/>
  <c r="D65"/>
  <c r="E65"/>
  <c r="F65"/>
  <c r="G65"/>
  <c r="H65"/>
  <c r="I65"/>
  <c r="J65"/>
  <c r="K65"/>
  <c r="L65"/>
  <c r="M65"/>
  <c r="N65"/>
  <c r="O65"/>
  <c r="P65"/>
  <c r="Q65"/>
  <c r="R65"/>
  <c r="S65"/>
  <c r="T65"/>
  <c r="U65"/>
  <c r="V65"/>
  <c r="W65"/>
  <c r="X65"/>
  <c r="Y65"/>
  <c r="Z65"/>
  <c r="AC65"/>
  <c r="AE65"/>
  <c r="AF65"/>
  <c r="AN65"/>
  <c r="B66"/>
  <c r="C66"/>
  <c r="AD66"/>
  <c r="D66"/>
  <c r="F66"/>
  <c r="E66"/>
  <c r="G66"/>
  <c r="H66"/>
  <c r="I66"/>
  <c r="J66"/>
  <c r="L66"/>
  <c r="K66"/>
  <c r="M66"/>
  <c r="N66"/>
  <c r="O66"/>
  <c r="P66"/>
  <c r="Q66"/>
  <c r="R66"/>
  <c r="S66"/>
  <c r="T66"/>
  <c r="U66"/>
  <c r="V66"/>
  <c r="W66"/>
  <c r="X66"/>
  <c r="Y66"/>
  <c r="AA66" s="1"/>
  <c r="Z66"/>
  <c r="AC66"/>
  <c r="AE66"/>
  <c r="AF66"/>
  <c r="AN66"/>
  <c r="B67"/>
  <c r="AC67" s="1"/>
  <c r="C67"/>
  <c r="AD67"/>
  <c r="D67"/>
  <c r="E67"/>
  <c r="F67"/>
  <c r="G67"/>
  <c r="H67"/>
  <c r="I67"/>
  <c r="J67"/>
  <c r="K67"/>
  <c r="L67"/>
  <c r="M67"/>
  <c r="N67"/>
  <c r="O67"/>
  <c r="P67"/>
  <c r="Q67"/>
  <c r="R67"/>
  <c r="S67"/>
  <c r="T67"/>
  <c r="U67"/>
  <c r="V67"/>
  <c r="W67"/>
  <c r="X67"/>
  <c r="Y67"/>
  <c r="AA67" s="1"/>
  <c r="Z67"/>
  <c r="AE67"/>
  <c r="AF67"/>
  <c r="AN67"/>
  <c r="B68"/>
  <c r="C68"/>
  <c r="AD68" s="1"/>
  <c r="D68"/>
  <c r="F68" s="1"/>
  <c r="E68"/>
  <c r="G68"/>
  <c r="H68"/>
  <c r="I68"/>
  <c r="J68"/>
  <c r="K68"/>
  <c r="L68"/>
  <c r="M68"/>
  <c r="N68"/>
  <c r="O68"/>
  <c r="P68"/>
  <c r="Q68"/>
  <c r="R68"/>
  <c r="S68"/>
  <c r="T68"/>
  <c r="U68"/>
  <c r="V68"/>
  <c r="W68"/>
  <c r="X68"/>
  <c r="Y68"/>
  <c r="Z68"/>
  <c r="AC68"/>
  <c r="AE68"/>
  <c r="AF68"/>
  <c r="AN68"/>
  <c r="B69"/>
  <c r="C69"/>
  <c r="AD69" s="1"/>
  <c r="D69"/>
  <c r="E69"/>
  <c r="F69"/>
  <c r="G69"/>
  <c r="H69"/>
  <c r="I69"/>
  <c r="J69"/>
  <c r="K69"/>
  <c r="L69"/>
  <c r="M69"/>
  <c r="N69"/>
  <c r="O69"/>
  <c r="P69"/>
  <c r="Q69"/>
  <c r="R69"/>
  <c r="S69"/>
  <c r="T69"/>
  <c r="U69"/>
  <c r="V69"/>
  <c r="W69"/>
  <c r="X69"/>
  <c r="Y69"/>
  <c r="Z69"/>
  <c r="AC69"/>
  <c r="AE69"/>
  <c r="AF69"/>
  <c r="AN69"/>
  <c r="C1" i="25"/>
  <c r="C4"/>
  <c r="F10"/>
  <c r="G10"/>
  <c r="J10"/>
  <c r="K10"/>
  <c r="N10"/>
  <c r="Q10"/>
  <c r="T10"/>
  <c r="W10"/>
  <c r="Z10"/>
  <c r="AE10"/>
  <c r="AF10"/>
  <c r="AI10"/>
  <c r="AK10"/>
  <c r="AL10"/>
  <c r="F11"/>
  <c r="G11"/>
  <c r="J11"/>
  <c r="K11"/>
  <c r="N11"/>
  <c r="Q11"/>
  <c r="T11"/>
  <c r="W11"/>
  <c r="Z11"/>
  <c r="AE11"/>
  <c r="AF11"/>
  <c r="AI11"/>
  <c r="AK11"/>
  <c r="AL11"/>
  <c r="F12"/>
  <c r="G12"/>
  <c r="J12"/>
  <c r="K12"/>
  <c r="N12"/>
  <c r="Q12"/>
  <c r="T12"/>
  <c r="W12"/>
  <c r="Z12"/>
  <c r="AE12"/>
  <c r="AF12"/>
  <c r="AI12"/>
  <c r="AK12"/>
  <c r="AL12"/>
  <c r="F13"/>
  <c r="G13"/>
  <c r="J13"/>
  <c r="K13"/>
  <c r="N13"/>
  <c r="Q13"/>
  <c r="T13"/>
  <c r="W13"/>
  <c r="Z13"/>
  <c r="AE13"/>
  <c r="AF13"/>
  <c r="AI13"/>
  <c r="AK13"/>
  <c r="AL13"/>
  <c r="F14"/>
  <c r="G14"/>
  <c r="J14"/>
  <c r="K14"/>
  <c r="N14"/>
  <c r="Q14"/>
  <c r="T14"/>
  <c r="W14"/>
  <c r="Z14"/>
  <c r="AE14"/>
  <c r="AF14"/>
  <c r="AI14"/>
  <c r="AK14"/>
  <c r="AL14"/>
  <c r="F15"/>
  <c r="G15"/>
  <c r="J15"/>
  <c r="K15"/>
  <c r="N15"/>
  <c r="Q15"/>
  <c r="T15"/>
  <c r="W15"/>
  <c r="Z15"/>
  <c r="AE15"/>
  <c r="AF15"/>
  <c r="AI15"/>
  <c r="AK15"/>
  <c r="AL15"/>
  <c r="F16"/>
  <c r="G16"/>
  <c r="J16"/>
  <c r="K16"/>
  <c r="N16"/>
  <c r="Q16"/>
  <c r="T16"/>
  <c r="W16"/>
  <c r="Z16"/>
  <c r="AE16"/>
  <c r="AF16"/>
  <c r="AI16"/>
  <c r="AK16"/>
  <c r="AL16"/>
  <c r="F17"/>
  <c r="G17"/>
  <c r="J17"/>
  <c r="K17"/>
  <c r="N17"/>
  <c r="Q17"/>
  <c r="T17"/>
  <c r="W17"/>
  <c r="Z17"/>
  <c r="AE17"/>
  <c r="AF17"/>
  <c r="AI17"/>
  <c r="AK17"/>
  <c r="AL17"/>
  <c r="F18"/>
  <c r="G18"/>
  <c r="J18"/>
  <c r="K18"/>
  <c r="N18"/>
  <c r="Q18"/>
  <c r="T18"/>
  <c r="W18"/>
  <c r="Z18"/>
  <c r="AE18"/>
  <c r="AF18"/>
  <c r="AI18"/>
  <c r="AK18"/>
  <c r="AL18"/>
  <c r="F19"/>
  <c r="G19"/>
  <c r="J19"/>
  <c r="K19"/>
  <c r="N19"/>
  <c r="Q19"/>
  <c r="T19"/>
  <c r="W19"/>
  <c r="Z19"/>
  <c r="AE19"/>
  <c r="AF19"/>
  <c r="AI19"/>
  <c r="AK19"/>
  <c r="AL19"/>
  <c r="E20"/>
  <c r="F20"/>
  <c r="G20"/>
  <c r="I20"/>
  <c r="J20"/>
  <c r="K20"/>
  <c r="N20"/>
  <c r="Q20"/>
  <c r="T20"/>
  <c r="W20"/>
  <c r="Z20"/>
  <c r="AE20"/>
  <c r="AF20"/>
  <c r="AI20"/>
  <c r="AK20"/>
  <c r="AL20"/>
  <c r="F21"/>
  <c r="G21"/>
  <c r="J21"/>
  <c r="K21"/>
  <c r="N21"/>
  <c r="Q21"/>
  <c r="T21"/>
  <c r="W21"/>
  <c r="Z21"/>
  <c r="AE21"/>
  <c r="AF21"/>
  <c r="AI21"/>
  <c r="AK21"/>
  <c r="AL21"/>
  <c r="F22"/>
  <c r="G22"/>
  <c r="J22"/>
  <c r="K22"/>
  <c r="N22"/>
  <c r="Q22"/>
  <c r="T22"/>
  <c r="W22"/>
  <c r="Z22"/>
  <c r="AE22"/>
  <c r="AF22"/>
  <c r="AK22"/>
  <c r="AL22"/>
  <c r="F23"/>
  <c r="G23"/>
  <c r="J23"/>
  <c r="K23"/>
  <c r="N23"/>
  <c r="Q23"/>
  <c r="T23"/>
  <c r="W23"/>
  <c r="Z23"/>
  <c r="AE23"/>
  <c r="AF23"/>
  <c r="AI23"/>
  <c r="AK23"/>
  <c r="AL23"/>
  <c r="F24"/>
  <c r="G24"/>
  <c r="J24"/>
  <c r="K24"/>
  <c r="N24"/>
  <c r="N70" s="1"/>
  <c r="Q24"/>
  <c r="T24"/>
  <c r="W24"/>
  <c r="Z24"/>
  <c r="AE24"/>
  <c r="AF24"/>
  <c r="AI24"/>
  <c r="AK24"/>
  <c r="AL24"/>
  <c r="F25"/>
  <c r="G25"/>
  <c r="J25"/>
  <c r="K25"/>
  <c r="N25"/>
  <c r="Q25"/>
  <c r="T25"/>
  <c r="W25"/>
  <c r="Z25"/>
  <c r="AE25"/>
  <c r="AF25"/>
  <c r="AI25"/>
  <c r="AK25"/>
  <c r="AL25"/>
  <c r="F26"/>
  <c r="G26"/>
  <c r="J26"/>
  <c r="K26"/>
  <c r="N26"/>
  <c r="Q26"/>
  <c r="T26"/>
  <c r="W26"/>
  <c r="Z26"/>
  <c r="AE26"/>
  <c r="AF26"/>
  <c r="AI26"/>
  <c r="AK26"/>
  <c r="AL26"/>
  <c r="F27"/>
  <c r="G27"/>
  <c r="J27"/>
  <c r="K27"/>
  <c r="N27"/>
  <c r="Q27"/>
  <c r="T27"/>
  <c r="W27"/>
  <c r="Z27"/>
  <c r="AE27"/>
  <c r="AF27"/>
  <c r="AI27"/>
  <c r="AK27"/>
  <c r="AL27"/>
  <c r="F28"/>
  <c r="G28"/>
  <c r="J28"/>
  <c r="K28"/>
  <c r="N28"/>
  <c r="Q28"/>
  <c r="T28"/>
  <c r="W28"/>
  <c r="Z28"/>
  <c r="AE28"/>
  <c r="AF28"/>
  <c r="AI28"/>
  <c r="AK28"/>
  <c r="AL28"/>
  <c r="F29"/>
  <c r="G29"/>
  <c r="J29"/>
  <c r="K29"/>
  <c r="N29"/>
  <c r="Q29"/>
  <c r="T29"/>
  <c r="W29"/>
  <c r="Z29"/>
  <c r="AE29"/>
  <c r="AF29"/>
  <c r="AI29"/>
  <c r="AK29"/>
  <c r="AL29"/>
  <c r="F30"/>
  <c r="G30"/>
  <c r="J30"/>
  <c r="K30"/>
  <c r="N30"/>
  <c r="Q30"/>
  <c r="T30"/>
  <c r="W30"/>
  <c r="Z30"/>
  <c r="AE30"/>
  <c r="AF30"/>
  <c r="AI30"/>
  <c r="AK30"/>
  <c r="AL30"/>
  <c r="F31"/>
  <c r="G31"/>
  <c r="J31"/>
  <c r="K31"/>
  <c r="N31"/>
  <c r="Q31"/>
  <c r="T31"/>
  <c r="W31"/>
  <c r="Z31"/>
  <c r="AE31"/>
  <c r="AF31"/>
  <c r="AK31"/>
  <c r="AL31"/>
  <c r="F32"/>
  <c r="G32"/>
  <c r="J32"/>
  <c r="K32"/>
  <c r="K70" s="1"/>
  <c r="N32"/>
  <c r="Q32"/>
  <c r="T32"/>
  <c r="W32"/>
  <c r="Z32"/>
  <c r="AA32"/>
  <c r="AB32"/>
  <c r="AE32"/>
  <c r="AF32"/>
  <c r="AI32"/>
  <c r="AK32"/>
  <c r="AL32"/>
  <c r="F33"/>
  <c r="G33"/>
  <c r="J33"/>
  <c r="K33"/>
  <c r="N33"/>
  <c r="Q33"/>
  <c r="T33"/>
  <c r="W33"/>
  <c r="Z33"/>
  <c r="AE33"/>
  <c r="AF33"/>
  <c r="AK33"/>
  <c r="AL33"/>
  <c r="F34"/>
  <c r="G34"/>
  <c r="J34"/>
  <c r="K34"/>
  <c r="N34"/>
  <c r="Q34"/>
  <c r="T34"/>
  <c r="W34"/>
  <c r="Z34"/>
  <c r="AE34"/>
  <c r="AF34"/>
  <c r="AK34"/>
  <c r="AL34"/>
  <c r="F35"/>
  <c r="G35"/>
  <c r="J35"/>
  <c r="K35"/>
  <c r="N35"/>
  <c r="Q35"/>
  <c r="T35"/>
  <c r="W35"/>
  <c r="Z35"/>
  <c r="AE35"/>
  <c r="AF35"/>
  <c r="AI35"/>
  <c r="AK35"/>
  <c r="AL35"/>
  <c r="F36"/>
  <c r="G36"/>
  <c r="J36"/>
  <c r="K36"/>
  <c r="N36"/>
  <c r="Q36"/>
  <c r="T36"/>
  <c r="W36"/>
  <c r="Z36"/>
  <c r="AE36"/>
  <c r="AF36"/>
  <c r="AK36"/>
  <c r="AL36"/>
  <c r="F37"/>
  <c r="G37"/>
  <c r="J37"/>
  <c r="K37"/>
  <c r="N37"/>
  <c r="Q37"/>
  <c r="T37"/>
  <c r="W37"/>
  <c r="Z37"/>
  <c r="AE37"/>
  <c r="AF37"/>
  <c r="AI37"/>
  <c r="AK37"/>
  <c r="AL37"/>
  <c r="F38"/>
  <c r="G38"/>
  <c r="J38"/>
  <c r="K38"/>
  <c r="N38"/>
  <c r="Q38"/>
  <c r="T38"/>
  <c r="W38"/>
  <c r="Z38"/>
  <c r="AE38"/>
  <c r="AF38"/>
  <c r="AK38"/>
  <c r="AL38"/>
  <c r="F39"/>
  <c r="G39"/>
  <c r="J39"/>
  <c r="K39"/>
  <c r="N39"/>
  <c r="Q39"/>
  <c r="T39"/>
  <c r="W39"/>
  <c r="Z39"/>
  <c r="AE39"/>
  <c r="AF39"/>
  <c r="AI39"/>
  <c r="AK39"/>
  <c r="AL39"/>
  <c r="F40"/>
  <c r="G40"/>
  <c r="J40"/>
  <c r="K40"/>
  <c r="N40"/>
  <c r="Q40"/>
  <c r="T40"/>
  <c r="W40"/>
  <c r="Z40"/>
  <c r="AE40"/>
  <c r="AF40"/>
  <c r="AI40"/>
  <c r="AK40"/>
  <c r="AL40"/>
  <c r="F41"/>
  <c r="G41"/>
  <c r="J41"/>
  <c r="K41"/>
  <c r="N41"/>
  <c r="Q41"/>
  <c r="T41"/>
  <c r="W41"/>
  <c r="Z41"/>
  <c r="AE41"/>
  <c r="AF41"/>
  <c r="AI41"/>
  <c r="AK41"/>
  <c r="AL41"/>
  <c r="F42"/>
  <c r="G42"/>
  <c r="J42"/>
  <c r="K42"/>
  <c r="N42"/>
  <c r="Q42"/>
  <c r="T42"/>
  <c r="W42"/>
  <c r="Z42"/>
  <c r="AE42"/>
  <c r="AF42"/>
  <c r="AI42"/>
  <c r="AK42"/>
  <c r="AL42"/>
  <c r="F43"/>
  <c r="G43"/>
  <c r="J43"/>
  <c r="K43"/>
  <c r="N43"/>
  <c r="Q43"/>
  <c r="T43"/>
  <c r="W43"/>
  <c r="Z43"/>
  <c r="AE43"/>
  <c r="AF43"/>
  <c r="AI43"/>
  <c r="AK43"/>
  <c r="AL43"/>
  <c r="F44"/>
  <c r="G44"/>
  <c r="J44"/>
  <c r="K44"/>
  <c r="N44"/>
  <c r="Q44"/>
  <c r="T44"/>
  <c r="W44"/>
  <c r="Z44"/>
  <c r="AE44"/>
  <c r="AF44"/>
  <c r="AI44"/>
  <c r="AK44"/>
  <c r="AL44"/>
  <c r="F45"/>
  <c r="G45"/>
  <c r="J45"/>
  <c r="K45"/>
  <c r="N45"/>
  <c r="Q45"/>
  <c r="T45"/>
  <c r="W45"/>
  <c r="Z45"/>
  <c r="AE45"/>
  <c r="AF45"/>
  <c r="AI45"/>
  <c r="AK45"/>
  <c r="AL45"/>
  <c r="F46"/>
  <c r="G46"/>
  <c r="J46"/>
  <c r="K46"/>
  <c r="N46"/>
  <c r="Q46"/>
  <c r="T46"/>
  <c r="W46"/>
  <c r="Z46"/>
  <c r="AE46"/>
  <c r="AF46"/>
  <c r="AI46"/>
  <c r="AK46"/>
  <c r="AL46"/>
  <c r="F47"/>
  <c r="G47"/>
  <c r="J47"/>
  <c r="K47"/>
  <c r="N47"/>
  <c r="Q47"/>
  <c r="T47"/>
  <c r="W47"/>
  <c r="Z47"/>
  <c r="AE47"/>
  <c r="AF47"/>
  <c r="AI47"/>
  <c r="AK47"/>
  <c r="AL47"/>
  <c r="F48"/>
  <c r="G48"/>
  <c r="J48"/>
  <c r="K48"/>
  <c r="N48"/>
  <c r="Q48"/>
  <c r="T48"/>
  <c r="W48"/>
  <c r="Z48"/>
  <c r="AE48"/>
  <c r="AF48"/>
  <c r="AI48"/>
  <c r="AK48"/>
  <c r="AL48"/>
  <c r="F49"/>
  <c r="G49"/>
  <c r="J49"/>
  <c r="K49"/>
  <c r="N49"/>
  <c r="Q49"/>
  <c r="T49"/>
  <c r="W49"/>
  <c r="Z49"/>
  <c r="AE49"/>
  <c r="AF49"/>
  <c r="AI49"/>
  <c r="AK49"/>
  <c r="AL49"/>
  <c r="F50"/>
  <c r="G50"/>
  <c r="J50"/>
  <c r="K50"/>
  <c r="N50"/>
  <c r="Q50"/>
  <c r="T50"/>
  <c r="W50"/>
  <c r="Z50"/>
  <c r="AE50"/>
  <c r="AF50"/>
  <c r="AI50"/>
  <c r="AK50"/>
  <c r="AL50"/>
  <c r="F51"/>
  <c r="G51"/>
  <c r="J51"/>
  <c r="K51"/>
  <c r="N51"/>
  <c r="Q51"/>
  <c r="T51"/>
  <c r="W51"/>
  <c r="Z51"/>
  <c r="AE51"/>
  <c r="AF51"/>
  <c r="AI51"/>
  <c r="AK51"/>
  <c r="AL51"/>
  <c r="F52"/>
  <c r="G52"/>
  <c r="J52"/>
  <c r="K52"/>
  <c r="N52"/>
  <c r="Q52"/>
  <c r="T52"/>
  <c r="W52"/>
  <c r="Z52"/>
  <c r="AE52"/>
  <c r="AF52"/>
  <c r="AI52"/>
  <c r="AK52"/>
  <c r="AL52"/>
  <c r="F53"/>
  <c r="G53"/>
  <c r="J53"/>
  <c r="K53"/>
  <c r="N53"/>
  <c r="Q53"/>
  <c r="T53"/>
  <c r="W53"/>
  <c r="Z53"/>
  <c r="AE53"/>
  <c r="AF53"/>
  <c r="AI53"/>
  <c r="AK53"/>
  <c r="AL53"/>
  <c r="F54"/>
  <c r="G54"/>
  <c r="J54"/>
  <c r="K54"/>
  <c r="N54"/>
  <c r="Q54"/>
  <c r="T54"/>
  <c r="W54"/>
  <c r="Z54"/>
  <c r="AE54"/>
  <c r="AF54"/>
  <c r="AI54"/>
  <c r="AK54"/>
  <c r="AL54"/>
  <c r="F55"/>
  <c r="G55"/>
  <c r="J55"/>
  <c r="K55"/>
  <c r="N55"/>
  <c r="Q55"/>
  <c r="T55"/>
  <c r="W55"/>
  <c r="Z55"/>
  <c r="AE55"/>
  <c r="AF55"/>
  <c r="AI55"/>
  <c r="AK55"/>
  <c r="AL55"/>
  <c r="F56"/>
  <c r="G56"/>
  <c r="J56"/>
  <c r="J70"/>
  <c r="K56"/>
  <c r="N56"/>
  <c r="Q56"/>
  <c r="T56"/>
  <c r="W56"/>
  <c r="Z56"/>
  <c r="AE56"/>
  <c r="AF56"/>
  <c r="AI56"/>
  <c r="AL56"/>
  <c r="F57"/>
  <c r="G57"/>
  <c r="J57"/>
  <c r="K57"/>
  <c r="N57"/>
  <c r="Q57"/>
  <c r="T57"/>
  <c r="W57"/>
  <c r="Z57"/>
  <c r="AE57"/>
  <c r="AF57"/>
  <c r="AI57"/>
  <c r="AK57"/>
  <c r="AL57"/>
  <c r="F58"/>
  <c r="G58"/>
  <c r="J58"/>
  <c r="K58"/>
  <c r="N58"/>
  <c r="Q58"/>
  <c r="T58"/>
  <c r="W58"/>
  <c r="Z58"/>
  <c r="AE58"/>
  <c r="AF58"/>
  <c r="AI58"/>
  <c r="AK58"/>
  <c r="AL58"/>
  <c r="F59"/>
  <c r="G59"/>
  <c r="J59"/>
  <c r="K59"/>
  <c r="N59"/>
  <c r="Q59"/>
  <c r="T59"/>
  <c r="W59"/>
  <c r="Z59"/>
  <c r="AE59"/>
  <c r="AF59"/>
  <c r="AK59"/>
  <c r="AL59"/>
  <c r="F60"/>
  <c r="G60"/>
  <c r="J60"/>
  <c r="K60"/>
  <c r="N60"/>
  <c r="Q60"/>
  <c r="T60"/>
  <c r="W60"/>
  <c r="Z60"/>
  <c r="AE60"/>
  <c r="AF60"/>
  <c r="AI60"/>
  <c r="AK60"/>
  <c r="AL60"/>
  <c r="F61"/>
  <c r="G61"/>
  <c r="J61"/>
  <c r="K61"/>
  <c r="N61"/>
  <c r="Q61"/>
  <c r="T61"/>
  <c r="W61"/>
  <c r="Z61"/>
  <c r="AE61"/>
  <c r="AF61"/>
  <c r="AI61"/>
  <c r="AK61"/>
  <c r="AL61"/>
  <c r="F62"/>
  <c r="G62"/>
  <c r="H62"/>
  <c r="J62"/>
  <c r="K62"/>
  <c r="N62"/>
  <c r="Q62"/>
  <c r="T62"/>
  <c r="W62"/>
  <c r="Z62"/>
  <c r="AE62"/>
  <c r="AF62"/>
  <c r="AI62"/>
  <c r="AK62"/>
  <c r="AL62"/>
  <c r="F63"/>
  <c r="G63"/>
  <c r="J63"/>
  <c r="K63"/>
  <c r="N63"/>
  <c r="Q63"/>
  <c r="T63"/>
  <c r="W63"/>
  <c r="Z63"/>
  <c r="AE63"/>
  <c r="AF63"/>
  <c r="AI63"/>
  <c r="AK63"/>
  <c r="AL63"/>
  <c r="F64"/>
  <c r="G64"/>
  <c r="J64"/>
  <c r="K64"/>
  <c r="N64"/>
  <c r="Q64"/>
  <c r="T64"/>
  <c r="W64"/>
  <c r="Z64"/>
  <c r="AE64"/>
  <c r="AF64"/>
  <c r="AI64"/>
  <c r="AK64"/>
  <c r="AL64"/>
  <c r="F65"/>
  <c r="G65"/>
  <c r="J65"/>
  <c r="K65"/>
  <c r="N65"/>
  <c r="Q65"/>
  <c r="T65"/>
  <c r="W65"/>
  <c r="Z65"/>
  <c r="AE65"/>
  <c r="AF65"/>
  <c r="AI65"/>
  <c r="AK65"/>
  <c r="AL65"/>
  <c r="F66"/>
  <c r="G66"/>
  <c r="J66"/>
  <c r="K66"/>
  <c r="N66"/>
  <c r="Q66"/>
  <c r="T66"/>
  <c r="W66"/>
  <c r="Z66"/>
  <c r="AE66"/>
  <c r="AF66"/>
  <c r="AI66"/>
  <c r="AK66"/>
  <c r="AL66"/>
  <c r="F67"/>
  <c r="G67"/>
  <c r="J67"/>
  <c r="K67"/>
  <c r="N67"/>
  <c r="Q67"/>
  <c r="T67"/>
  <c r="W67"/>
  <c r="Z67"/>
  <c r="AE67"/>
  <c r="AF67"/>
  <c r="AI67"/>
  <c r="AK67"/>
  <c r="AL67"/>
  <c r="F68"/>
  <c r="G68"/>
  <c r="J68"/>
  <c r="K68"/>
  <c r="N68"/>
  <c r="Q68"/>
  <c r="T68"/>
  <c r="W68"/>
  <c r="Z68"/>
  <c r="AE68"/>
  <c r="AF68"/>
  <c r="AI68"/>
  <c r="AK68"/>
  <c r="AL68"/>
  <c r="F69"/>
  <c r="G69"/>
  <c r="J69"/>
  <c r="K69"/>
  <c r="N69"/>
  <c r="Q69"/>
  <c r="T69"/>
  <c r="W69"/>
  <c r="Z69"/>
  <c r="AE69"/>
  <c r="AF69"/>
  <c r="AI69"/>
  <c r="AK69"/>
  <c r="AL69"/>
  <c r="D70"/>
  <c r="E70"/>
  <c r="F70"/>
  <c r="H70"/>
  <c r="I70"/>
  <c r="L70"/>
  <c r="M70"/>
  <c r="O70"/>
  <c r="P70"/>
  <c r="R70"/>
  <c r="S70"/>
  <c r="T70"/>
  <c r="U70"/>
  <c r="V70"/>
  <c r="X70"/>
  <c r="Y70"/>
  <c r="AA70"/>
  <c r="AB70"/>
  <c r="AG70"/>
  <c r="AH70"/>
  <c r="B10" i="3"/>
  <c r="AL10"/>
  <c r="C10"/>
  <c r="AM10"/>
  <c r="D10"/>
  <c r="E10"/>
  <c r="G10"/>
  <c r="H10"/>
  <c r="I10"/>
  <c r="J10"/>
  <c r="K10"/>
  <c r="L10"/>
  <c r="M10"/>
  <c r="N10"/>
  <c r="O10"/>
  <c r="P10"/>
  <c r="Q10"/>
  <c r="R10"/>
  <c r="S10"/>
  <c r="T10"/>
  <c r="U10"/>
  <c r="V10"/>
  <c r="W10"/>
  <c r="X10"/>
  <c r="Y10"/>
  <c r="Z10"/>
  <c r="AA10"/>
  <c r="AB10"/>
  <c r="AC10"/>
  <c r="AD10"/>
  <c r="AE10"/>
  <c r="AF10"/>
  <c r="AG10"/>
  <c r="AH10"/>
  <c r="AI10"/>
  <c r="AJ10"/>
  <c r="AN10"/>
  <c r="AO10"/>
  <c r="AP10"/>
  <c r="AY10"/>
  <c r="B11"/>
  <c r="AL11"/>
  <c r="C11"/>
  <c r="AM11"/>
  <c r="D11"/>
  <c r="E11"/>
  <c r="G11"/>
  <c r="H11"/>
  <c r="I11"/>
  <c r="J11"/>
  <c r="K11"/>
  <c r="L11"/>
  <c r="M11"/>
  <c r="N11"/>
  <c r="N61" s="1"/>
  <c r="O11"/>
  <c r="P11"/>
  <c r="Q11"/>
  <c r="R11"/>
  <c r="S11"/>
  <c r="T11"/>
  <c r="U11"/>
  <c r="V11"/>
  <c r="W11"/>
  <c r="X11"/>
  <c r="Y11"/>
  <c r="Z11"/>
  <c r="AA11"/>
  <c r="AB11"/>
  <c r="AC11"/>
  <c r="AD11"/>
  <c r="AE11"/>
  <c r="AF11"/>
  <c r="AG11"/>
  <c r="AH11"/>
  <c r="AI11"/>
  <c r="AJ11"/>
  <c r="AN11"/>
  <c r="AO11"/>
  <c r="AP11"/>
  <c r="AY11"/>
  <c r="B12"/>
  <c r="AL12"/>
  <c r="C12"/>
  <c r="AM12"/>
  <c r="D12"/>
  <c r="E12"/>
  <c r="G12"/>
  <c r="H12"/>
  <c r="I12"/>
  <c r="J12"/>
  <c r="K12"/>
  <c r="L12"/>
  <c r="M12"/>
  <c r="N12"/>
  <c r="O12"/>
  <c r="P12"/>
  <c r="Q12"/>
  <c r="R12"/>
  <c r="S12"/>
  <c r="T12"/>
  <c r="U12"/>
  <c r="V12"/>
  <c r="W12"/>
  <c r="X12"/>
  <c r="Y12"/>
  <c r="Z12"/>
  <c r="AA12"/>
  <c r="AB12"/>
  <c r="AC12"/>
  <c r="AD12"/>
  <c r="AE12"/>
  <c r="AF12"/>
  <c r="AG12"/>
  <c r="AH12"/>
  <c r="AI12"/>
  <c r="AJ12"/>
  <c r="AN12"/>
  <c r="AO12"/>
  <c r="AP12"/>
  <c r="AY12"/>
  <c r="B13"/>
  <c r="AL13"/>
  <c r="C13"/>
  <c r="AM13"/>
  <c r="D13"/>
  <c r="E13"/>
  <c r="G13"/>
  <c r="H13"/>
  <c r="I13"/>
  <c r="J13"/>
  <c r="K13"/>
  <c r="L13"/>
  <c r="M13"/>
  <c r="N13"/>
  <c r="O13"/>
  <c r="P13"/>
  <c r="Q13"/>
  <c r="R13"/>
  <c r="S13"/>
  <c r="T13"/>
  <c r="U13"/>
  <c r="V13"/>
  <c r="W13"/>
  <c r="X13"/>
  <c r="Y13"/>
  <c r="Z13"/>
  <c r="AA13"/>
  <c r="AB13"/>
  <c r="AC13"/>
  <c r="AD13"/>
  <c r="AE13"/>
  <c r="AF13"/>
  <c r="AG13"/>
  <c r="AH13"/>
  <c r="AI13"/>
  <c r="AJ13"/>
  <c r="AN13"/>
  <c r="AO13"/>
  <c r="AP13"/>
  <c r="AY13"/>
  <c r="B14"/>
  <c r="AL14"/>
  <c r="C14"/>
  <c r="AM14"/>
  <c r="D14"/>
  <c r="E14"/>
  <c r="G14"/>
  <c r="H14"/>
  <c r="I14"/>
  <c r="J14"/>
  <c r="K14"/>
  <c r="L14"/>
  <c r="M14"/>
  <c r="N14"/>
  <c r="O14"/>
  <c r="P14"/>
  <c r="Q14"/>
  <c r="R14"/>
  <c r="S14"/>
  <c r="T14"/>
  <c r="U14"/>
  <c r="V14"/>
  <c r="W14"/>
  <c r="X14"/>
  <c r="Y14"/>
  <c r="Z14"/>
  <c r="AA14"/>
  <c r="AB14"/>
  <c r="AC14"/>
  <c r="AD14"/>
  <c r="AE14"/>
  <c r="AF14"/>
  <c r="AG14"/>
  <c r="AH14"/>
  <c r="AI14"/>
  <c r="AJ14"/>
  <c r="AN14"/>
  <c r="AO14"/>
  <c r="AP14"/>
  <c r="AY14"/>
  <c r="B15"/>
  <c r="AL15"/>
  <c r="C15"/>
  <c r="AM15"/>
  <c r="D15"/>
  <c r="E15"/>
  <c r="G15"/>
  <c r="H15"/>
  <c r="I15"/>
  <c r="J15"/>
  <c r="K15"/>
  <c r="L15"/>
  <c r="M15"/>
  <c r="N15"/>
  <c r="O15"/>
  <c r="P15"/>
  <c r="Q15"/>
  <c r="R15"/>
  <c r="S15"/>
  <c r="T15"/>
  <c r="U15"/>
  <c r="V15"/>
  <c r="W15"/>
  <c r="X15"/>
  <c r="Y15"/>
  <c r="Z15"/>
  <c r="AA15"/>
  <c r="AB15"/>
  <c r="AC15"/>
  <c r="AD15"/>
  <c r="AE15"/>
  <c r="AF15"/>
  <c r="AG15"/>
  <c r="AH15"/>
  <c r="AI15"/>
  <c r="AJ15"/>
  <c r="AN15"/>
  <c r="AO15"/>
  <c r="AP15"/>
  <c r="AY15"/>
  <c r="B16"/>
  <c r="AL16"/>
  <c r="C16"/>
  <c r="AM16"/>
  <c r="D16"/>
  <c r="E16"/>
  <c r="G16"/>
  <c r="H16"/>
  <c r="I16"/>
  <c r="J16"/>
  <c r="K16"/>
  <c r="L16"/>
  <c r="M16"/>
  <c r="N16"/>
  <c r="O16"/>
  <c r="P16"/>
  <c r="Q16"/>
  <c r="R16"/>
  <c r="S16"/>
  <c r="T16"/>
  <c r="U16"/>
  <c r="V16"/>
  <c r="W16"/>
  <c r="X16"/>
  <c r="Y16"/>
  <c r="Z16"/>
  <c r="AA16"/>
  <c r="AB16"/>
  <c r="AC16"/>
  <c r="AD16"/>
  <c r="AE16"/>
  <c r="AF16"/>
  <c r="AG16"/>
  <c r="AH16"/>
  <c r="AI16"/>
  <c r="AJ16"/>
  <c r="AN16"/>
  <c r="AO16"/>
  <c r="AP16"/>
  <c r="AY16"/>
  <c r="B17"/>
  <c r="AL17"/>
  <c r="C17"/>
  <c r="AM17"/>
  <c r="D17"/>
  <c r="E17"/>
  <c r="AQ17" s="1"/>
  <c r="G17"/>
  <c r="H17"/>
  <c r="I17"/>
  <c r="J17"/>
  <c r="K17"/>
  <c r="L17"/>
  <c r="M17"/>
  <c r="N17"/>
  <c r="O17"/>
  <c r="P17"/>
  <c r="Q17"/>
  <c r="R17"/>
  <c r="S17"/>
  <c r="T17"/>
  <c r="U17"/>
  <c r="V17"/>
  <c r="W17"/>
  <c r="X17"/>
  <c r="Y17"/>
  <c r="Z17"/>
  <c r="AA17"/>
  <c r="AB17"/>
  <c r="AC17"/>
  <c r="AD17"/>
  <c r="AE17"/>
  <c r="AF17"/>
  <c r="AG17"/>
  <c r="AH17"/>
  <c r="AI17"/>
  <c r="AJ17"/>
  <c r="AN17"/>
  <c r="AO17"/>
  <c r="AP17"/>
  <c r="AY17"/>
  <c r="B18"/>
  <c r="AL18" s="1"/>
  <c r="C18"/>
  <c r="AM18" s="1"/>
  <c r="D18"/>
  <c r="E18"/>
  <c r="G18"/>
  <c r="H18"/>
  <c r="I18"/>
  <c r="J18"/>
  <c r="K18"/>
  <c r="L18"/>
  <c r="M18"/>
  <c r="N18"/>
  <c r="O18"/>
  <c r="P18"/>
  <c r="Q18"/>
  <c r="R18"/>
  <c r="S18"/>
  <c r="T18"/>
  <c r="U18"/>
  <c r="V18"/>
  <c r="W18"/>
  <c r="X18"/>
  <c r="Y18"/>
  <c r="Z18"/>
  <c r="AA18"/>
  <c r="AB18"/>
  <c r="AC18"/>
  <c r="AD18"/>
  <c r="AE18"/>
  <c r="AF18"/>
  <c r="AG18"/>
  <c r="AH18"/>
  <c r="AI18"/>
  <c r="AJ18"/>
  <c r="AN18"/>
  <c r="AO18"/>
  <c r="AP18"/>
  <c r="AY18"/>
  <c r="B19"/>
  <c r="AL19" s="1"/>
  <c r="C19"/>
  <c r="AM19" s="1"/>
  <c r="D19"/>
  <c r="E19"/>
  <c r="G19"/>
  <c r="H19"/>
  <c r="I19"/>
  <c r="J19"/>
  <c r="K19"/>
  <c r="L19"/>
  <c r="M19"/>
  <c r="N19"/>
  <c r="O19"/>
  <c r="P19"/>
  <c r="Q19"/>
  <c r="R19"/>
  <c r="S19"/>
  <c r="T19"/>
  <c r="U19"/>
  <c r="V19"/>
  <c r="W19"/>
  <c r="X19"/>
  <c r="Y19"/>
  <c r="Z19"/>
  <c r="AA19"/>
  <c r="AB19"/>
  <c r="AC19"/>
  <c r="AD19"/>
  <c r="AE19"/>
  <c r="AF19"/>
  <c r="AG19"/>
  <c r="AH19"/>
  <c r="AI19"/>
  <c r="AJ19"/>
  <c r="AN19"/>
  <c r="AO19"/>
  <c r="AP19"/>
  <c r="AY19"/>
  <c r="B20"/>
  <c r="C20"/>
  <c r="D20"/>
  <c r="E20"/>
  <c r="G20"/>
  <c r="H20"/>
  <c r="I20"/>
  <c r="J20"/>
  <c r="K20"/>
  <c r="L20"/>
  <c r="M20"/>
  <c r="N20"/>
  <c r="O20"/>
  <c r="P20"/>
  <c r="Q20"/>
  <c r="R20"/>
  <c r="S20"/>
  <c r="T20"/>
  <c r="U20"/>
  <c r="V20"/>
  <c r="W20"/>
  <c r="X20"/>
  <c r="Y20"/>
  <c r="Z20"/>
  <c r="AA20"/>
  <c r="AB20"/>
  <c r="AC20"/>
  <c r="AD20"/>
  <c r="AE20"/>
  <c r="AF20"/>
  <c r="AG20"/>
  <c r="AH20"/>
  <c r="AI20"/>
  <c r="AJ20"/>
  <c r="AL20"/>
  <c r="AM20"/>
  <c r="AN20"/>
  <c r="AO20"/>
  <c r="AP20"/>
  <c r="AY20"/>
  <c r="B21"/>
  <c r="AL21" s="1"/>
  <c r="C21"/>
  <c r="AM21" s="1"/>
  <c r="D21"/>
  <c r="E21"/>
  <c r="G21"/>
  <c r="H21"/>
  <c r="I21"/>
  <c r="J21"/>
  <c r="K21"/>
  <c r="L21"/>
  <c r="M21"/>
  <c r="N21"/>
  <c r="O21"/>
  <c r="P21"/>
  <c r="Q21"/>
  <c r="R21"/>
  <c r="S21"/>
  <c r="T21"/>
  <c r="U21"/>
  <c r="V21"/>
  <c r="W21"/>
  <c r="X21"/>
  <c r="Y21"/>
  <c r="Z21"/>
  <c r="AA21"/>
  <c r="AB21"/>
  <c r="AC21"/>
  <c r="AD21"/>
  <c r="AE21"/>
  <c r="AF21"/>
  <c r="AG21"/>
  <c r="AH21"/>
  <c r="AI21"/>
  <c r="AJ21"/>
  <c r="AN21"/>
  <c r="AO21"/>
  <c r="AP21"/>
  <c r="AY21"/>
  <c r="B22"/>
  <c r="AL22" s="1"/>
  <c r="C22"/>
  <c r="AM22" s="1"/>
  <c r="D22"/>
  <c r="E22"/>
  <c r="G22"/>
  <c r="H22"/>
  <c r="I22"/>
  <c r="J22"/>
  <c r="K22"/>
  <c r="L22"/>
  <c r="M22"/>
  <c r="N22"/>
  <c r="O22"/>
  <c r="P22"/>
  <c r="Q22"/>
  <c r="R22"/>
  <c r="S22"/>
  <c r="T22"/>
  <c r="U22"/>
  <c r="V22"/>
  <c r="W22"/>
  <c r="X22"/>
  <c r="Y22"/>
  <c r="Z22"/>
  <c r="AA22"/>
  <c r="AB22"/>
  <c r="AC22"/>
  <c r="AD22"/>
  <c r="AE22"/>
  <c r="AF22"/>
  <c r="AG22"/>
  <c r="AG61" s="1"/>
  <c r="AH22"/>
  <c r="AI22"/>
  <c r="AJ22"/>
  <c r="AN22"/>
  <c r="AO22"/>
  <c r="AP22"/>
  <c r="AY22"/>
  <c r="B23"/>
  <c r="AL23" s="1"/>
  <c r="C23"/>
  <c r="AM23" s="1"/>
  <c r="D23"/>
  <c r="E23"/>
  <c r="G23"/>
  <c r="H23"/>
  <c r="I23"/>
  <c r="J23"/>
  <c r="K23"/>
  <c r="L23"/>
  <c r="M23"/>
  <c r="N23"/>
  <c r="O23"/>
  <c r="P23"/>
  <c r="Q23"/>
  <c r="R23"/>
  <c r="S23"/>
  <c r="T23"/>
  <c r="U23"/>
  <c r="V23"/>
  <c r="W23"/>
  <c r="X23"/>
  <c r="Y23"/>
  <c r="Z23"/>
  <c r="AA23"/>
  <c r="AB23"/>
  <c r="AC23"/>
  <c r="AD23"/>
  <c r="AE23"/>
  <c r="AF23"/>
  <c r="AG23"/>
  <c r="AH23"/>
  <c r="AI23"/>
  <c r="AJ23"/>
  <c r="AN23"/>
  <c r="AO23"/>
  <c r="AP23"/>
  <c r="AY23"/>
  <c r="B24"/>
  <c r="AL24" s="1"/>
  <c r="C24"/>
  <c r="AM24" s="1"/>
  <c r="D24"/>
  <c r="E24"/>
  <c r="G24"/>
  <c r="H24"/>
  <c r="I24"/>
  <c r="J24"/>
  <c r="K24"/>
  <c r="L24"/>
  <c r="M24"/>
  <c r="N24"/>
  <c r="O24"/>
  <c r="P24"/>
  <c r="Q24"/>
  <c r="R24"/>
  <c r="S24"/>
  <c r="T24"/>
  <c r="U24"/>
  <c r="V24"/>
  <c r="W24"/>
  <c r="X24"/>
  <c r="Y24"/>
  <c r="Z24"/>
  <c r="AA24"/>
  <c r="AB24"/>
  <c r="AC24"/>
  <c r="AD24"/>
  <c r="AE24"/>
  <c r="AF24"/>
  <c r="AG24"/>
  <c r="AH24"/>
  <c r="AI24"/>
  <c r="AJ24"/>
  <c r="AN24"/>
  <c r="AO24"/>
  <c r="AP24"/>
  <c r="AY24"/>
  <c r="B25"/>
  <c r="AL25" s="1"/>
  <c r="C25"/>
  <c r="AM25" s="1"/>
  <c r="D25"/>
  <c r="E25"/>
  <c r="G25"/>
  <c r="H25"/>
  <c r="I25"/>
  <c r="J25"/>
  <c r="K25"/>
  <c r="L25"/>
  <c r="M25"/>
  <c r="N25"/>
  <c r="O25"/>
  <c r="P25"/>
  <c r="Q25"/>
  <c r="R25"/>
  <c r="S25"/>
  <c r="T25"/>
  <c r="U25"/>
  <c r="V25"/>
  <c r="W25"/>
  <c r="X25"/>
  <c r="Y25"/>
  <c r="Z25"/>
  <c r="AA25"/>
  <c r="AB25"/>
  <c r="AC25"/>
  <c r="AD25"/>
  <c r="AE25"/>
  <c r="AF25"/>
  <c r="AG25"/>
  <c r="AH25"/>
  <c r="AI25"/>
  <c r="AJ25"/>
  <c r="AN25"/>
  <c r="AO25"/>
  <c r="AP25"/>
  <c r="AY25"/>
  <c r="B26"/>
  <c r="C26"/>
  <c r="D26"/>
  <c r="E26"/>
  <c r="G26"/>
  <c r="H26"/>
  <c r="I26"/>
  <c r="J26"/>
  <c r="K26"/>
  <c r="L26"/>
  <c r="M26"/>
  <c r="M61" s="1"/>
  <c r="N26"/>
  <c r="O26"/>
  <c r="P26"/>
  <c r="Q26"/>
  <c r="R26"/>
  <c r="S26"/>
  <c r="T26"/>
  <c r="U26"/>
  <c r="V26"/>
  <c r="W26"/>
  <c r="X26"/>
  <c r="Y26"/>
  <c r="Z26"/>
  <c r="AA26"/>
  <c r="AB26"/>
  <c r="AC26"/>
  <c r="AD26"/>
  <c r="AE26"/>
  <c r="AF26"/>
  <c r="AG26"/>
  <c r="AH26"/>
  <c r="AI26"/>
  <c r="AJ26"/>
  <c r="AL26"/>
  <c r="AM26"/>
  <c r="AN26"/>
  <c r="AO26"/>
  <c r="AP26"/>
  <c r="AY26"/>
  <c r="B27"/>
  <c r="AL27" s="1"/>
  <c r="C27"/>
  <c r="AM27" s="1"/>
  <c r="D27"/>
  <c r="E27"/>
  <c r="G27"/>
  <c r="H27"/>
  <c r="I27"/>
  <c r="J27"/>
  <c r="K27"/>
  <c r="L27"/>
  <c r="M27"/>
  <c r="N27"/>
  <c r="O27"/>
  <c r="P27"/>
  <c r="Q27"/>
  <c r="R27"/>
  <c r="S27"/>
  <c r="T27"/>
  <c r="U27"/>
  <c r="V27"/>
  <c r="W27"/>
  <c r="X27"/>
  <c r="Y27"/>
  <c r="Z27"/>
  <c r="AA27"/>
  <c r="AB27"/>
  <c r="AC27"/>
  <c r="AD27"/>
  <c r="AE27"/>
  <c r="AF27"/>
  <c r="AG27"/>
  <c r="AH27"/>
  <c r="AI27"/>
  <c r="AJ27"/>
  <c r="AN27"/>
  <c r="AO27"/>
  <c r="AP27"/>
  <c r="AY27"/>
  <c r="B28"/>
  <c r="AL28" s="1"/>
  <c r="C28"/>
  <c r="AM28" s="1"/>
  <c r="D28"/>
  <c r="E28"/>
  <c r="G28"/>
  <c r="H28"/>
  <c r="I28"/>
  <c r="J28"/>
  <c r="K28"/>
  <c r="L28"/>
  <c r="M28"/>
  <c r="N28"/>
  <c r="O28"/>
  <c r="P28"/>
  <c r="Q28"/>
  <c r="R28"/>
  <c r="S28"/>
  <c r="T28"/>
  <c r="U28"/>
  <c r="V28"/>
  <c r="W28"/>
  <c r="X28"/>
  <c r="Y28"/>
  <c r="Z28"/>
  <c r="AA28"/>
  <c r="AB28"/>
  <c r="AC28"/>
  <c r="AD28"/>
  <c r="AE28"/>
  <c r="AF28"/>
  <c r="AG28"/>
  <c r="AH28"/>
  <c r="AI28"/>
  <c r="AJ28"/>
  <c r="AN28"/>
  <c r="AO28"/>
  <c r="AP28"/>
  <c r="AY28"/>
  <c r="B29"/>
  <c r="AL29" s="1"/>
  <c r="C29"/>
  <c r="AM29" s="1"/>
  <c r="D29"/>
  <c r="E29"/>
  <c r="G29"/>
  <c r="H29"/>
  <c r="I29"/>
  <c r="J29"/>
  <c r="K29"/>
  <c r="L29"/>
  <c r="M29"/>
  <c r="N29"/>
  <c r="O29"/>
  <c r="P29"/>
  <c r="Q29"/>
  <c r="R29"/>
  <c r="S29"/>
  <c r="T29"/>
  <c r="U29"/>
  <c r="V29"/>
  <c r="W29"/>
  <c r="X29"/>
  <c r="Y29"/>
  <c r="Z29"/>
  <c r="AA29"/>
  <c r="AB29"/>
  <c r="AC29"/>
  <c r="AD29"/>
  <c r="AE29"/>
  <c r="AF29"/>
  <c r="AG29"/>
  <c r="AH29"/>
  <c r="AI29"/>
  <c r="AJ29"/>
  <c r="AN29"/>
  <c r="AO29"/>
  <c r="AP29"/>
  <c r="AY29"/>
  <c r="B30"/>
  <c r="AL30" s="1"/>
  <c r="C30"/>
  <c r="AM30" s="1"/>
  <c r="D30"/>
  <c r="E30"/>
  <c r="G30"/>
  <c r="H30"/>
  <c r="I30"/>
  <c r="J30"/>
  <c r="K30"/>
  <c r="L30"/>
  <c r="M30"/>
  <c r="N30"/>
  <c r="O30"/>
  <c r="P30"/>
  <c r="Q30"/>
  <c r="R30"/>
  <c r="S30"/>
  <c r="T30"/>
  <c r="U30"/>
  <c r="V30"/>
  <c r="W30"/>
  <c r="X30"/>
  <c r="Y30"/>
  <c r="Z30"/>
  <c r="AA30"/>
  <c r="AB30"/>
  <c r="AC30"/>
  <c r="AD30"/>
  <c r="AE30"/>
  <c r="AF30"/>
  <c r="AG30"/>
  <c r="AH30"/>
  <c r="AI30"/>
  <c r="AJ30"/>
  <c r="AN30"/>
  <c r="AO30"/>
  <c r="AP30"/>
  <c r="AY30"/>
  <c r="B31"/>
  <c r="AL31" s="1"/>
  <c r="C31"/>
  <c r="AM31" s="1"/>
  <c r="D31"/>
  <c r="E31"/>
  <c r="G31"/>
  <c r="H31"/>
  <c r="I31"/>
  <c r="J31"/>
  <c r="K31"/>
  <c r="L31"/>
  <c r="M31"/>
  <c r="N31"/>
  <c r="O31"/>
  <c r="P31"/>
  <c r="Q31"/>
  <c r="R31"/>
  <c r="S31"/>
  <c r="T31"/>
  <c r="U31"/>
  <c r="V31"/>
  <c r="W31"/>
  <c r="X31"/>
  <c r="Y31"/>
  <c r="Z31"/>
  <c r="AA31"/>
  <c r="AB31"/>
  <c r="AC31"/>
  <c r="AD31"/>
  <c r="AE31"/>
  <c r="AF31"/>
  <c r="AG31"/>
  <c r="AH31"/>
  <c r="AI31"/>
  <c r="AJ31"/>
  <c r="AN31"/>
  <c r="AO31"/>
  <c r="AP31"/>
  <c r="AY31"/>
  <c r="B32"/>
  <c r="AL32" s="1"/>
  <c r="C32"/>
  <c r="AM32" s="1"/>
  <c r="D32"/>
  <c r="E32"/>
  <c r="G32"/>
  <c r="H32"/>
  <c r="I32"/>
  <c r="J32"/>
  <c r="K32"/>
  <c r="L32"/>
  <c r="M32"/>
  <c r="N32"/>
  <c r="O32"/>
  <c r="P32"/>
  <c r="Q32"/>
  <c r="R32"/>
  <c r="S32"/>
  <c r="T32"/>
  <c r="U32"/>
  <c r="V32"/>
  <c r="W32"/>
  <c r="X32"/>
  <c r="Y32"/>
  <c r="Z32"/>
  <c r="AA32"/>
  <c r="AB32"/>
  <c r="AC32"/>
  <c r="AD32"/>
  <c r="AE32"/>
  <c r="AF32"/>
  <c r="AG32"/>
  <c r="AH32"/>
  <c r="AI32"/>
  <c r="AJ32"/>
  <c r="AN32"/>
  <c r="AO32"/>
  <c r="AP32"/>
  <c r="AY32"/>
  <c r="B33"/>
  <c r="AL33" s="1"/>
  <c r="C33"/>
  <c r="AM33" s="1"/>
  <c r="D33"/>
  <c r="E33"/>
  <c r="G33"/>
  <c r="H33"/>
  <c r="I33"/>
  <c r="J33"/>
  <c r="K33"/>
  <c r="L33"/>
  <c r="M33"/>
  <c r="N33"/>
  <c r="O33"/>
  <c r="P33"/>
  <c r="Q33"/>
  <c r="R33"/>
  <c r="S33"/>
  <c r="T33"/>
  <c r="U33"/>
  <c r="V33"/>
  <c r="W33"/>
  <c r="X33"/>
  <c r="Y33"/>
  <c r="Z33"/>
  <c r="AA33"/>
  <c r="AB33"/>
  <c r="AC33"/>
  <c r="AD33"/>
  <c r="AE33"/>
  <c r="AF33"/>
  <c r="AG33"/>
  <c r="AH33"/>
  <c r="AI33"/>
  <c r="AJ33"/>
  <c r="AN33"/>
  <c r="AO33"/>
  <c r="AP33"/>
  <c r="AY33"/>
  <c r="B34"/>
  <c r="AL34" s="1"/>
  <c r="C34"/>
  <c r="AM34" s="1"/>
  <c r="D34"/>
  <c r="E34"/>
  <c r="G34"/>
  <c r="H34"/>
  <c r="I34"/>
  <c r="J34"/>
  <c r="K34"/>
  <c r="L34"/>
  <c r="M34"/>
  <c r="N34"/>
  <c r="O34"/>
  <c r="P34"/>
  <c r="Q34"/>
  <c r="R34"/>
  <c r="S34"/>
  <c r="T34"/>
  <c r="U34"/>
  <c r="V34"/>
  <c r="W34"/>
  <c r="X34"/>
  <c r="Y34"/>
  <c r="Z34"/>
  <c r="AA34"/>
  <c r="AB34"/>
  <c r="AC34"/>
  <c r="AD34"/>
  <c r="AE34"/>
  <c r="AF34"/>
  <c r="AG34"/>
  <c r="AH34"/>
  <c r="AI34"/>
  <c r="AJ34"/>
  <c r="AN34"/>
  <c r="AO34"/>
  <c r="AP34"/>
  <c r="AY34"/>
  <c r="B35"/>
  <c r="AL35" s="1"/>
  <c r="C35"/>
  <c r="AM35" s="1"/>
  <c r="D35"/>
  <c r="E35"/>
  <c r="G35"/>
  <c r="H35"/>
  <c r="I35"/>
  <c r="J35"/>
  <c r="K35"/>
  <c r="L35"/>
  <c r="M35"/>
  <c r="N35"/>
  <c r="O35"/>
  <c r="P35"/>
  <c r="Q35"/>
  <c r="R35"/>
  <c r="S35"/>
  <c r="T35"/>
  <c r="U35"/>
  <c r="V35"/>
  <c r="W35"/>
  <c r="X35"/>
  <c r="Y35"/>
  <c r="Z35"/>
  <c r="AA35"/>
  <c r="AB35"/>
  <c r="AC35"/>
  <c r="AD35"/>
  <c r="AE35"/>
  <c r="AF35"/>
  <c r="AG35"/>
  <c r="AH35"/>
  <c r="AI35"/>
  <c r="AJ35"/>
  <c r="AN35"/>
  <c r="AO35"/>
  <c r="AP35"/>
  <c r="AY35"/>
  <c r="B36"/>
  <c r="AL36" s="1"/>
  <c r="C36"/>
  <c r="AM36" s="1"/>
  <c r="D36"/>
  <c r="E36"/>
  <c r="G36"/>
  <c r="H36"/>
  <c r="I36"/>
  <c r="J36"/>
  <c r="K36"/>
  <c r="L36"/>
  <c r="M36"/>
  <c r="N36"/>
  <c r="O36"/>
  <c r="P36"/>
  <c r="Q36"/>
  <c r="R36"/>
  <c r="S36"/>
  <c r="T36"/>
  <c r="U36"/>
  <c r="V36"/>
  <c r="W36"/>
  <c r="X36"/>
  <c r="Y36"/>
  <c r="Z36"/>
  <c r="AA36"/>
  <c r="AB36"/>
  <c r="AC36"/>
  <c r="AD36"/>
  <c r="AE36"/>
  <c r="AF36"/>
  <c r="AG36"/>
  <c r="AH36"/>
  <c r="AI36"/>
  <c r="AJ36"/>
  <c r="AN36"/>
  <c r="AO36"/>
  <c r="AP36"/>
  <c r="AY36"/>
  <c r="B37"/>
  <c r="AL37" s="1"/>
  <c r="C37"/>
  <c r="AM37" s="1"/>
  <c r="D37"/>
  <c r="E37"/>
  <c r="G37"/>
  <c r="H37"/>
  <c r="I37"/>
  <c r="J37"/>
  <c r="K37"/>
  <c r="AQ37" s="1"/>
  <c r="L37"/>
  <c r="M37"/>
  <c r="N37"/>
  <c r="O37"/>
  <c r="P37"/>
  <c r="Q37"/>
  <c r="R37"/>
  <c r="S37"/>
  <c r="T37"/>
  <c r="U37"/>
  <c r="V37"/>
  <c r="W37"/>
  <c r="X37"/>
  <c r="Y37"/>
  <c r="Z37"/>
  <c r="AA37"/>
  <c r="AB37"/>
  <c r="AC37"/>
  <c r="AD37"/>
  <c r="AE37"/>
  <c r="AF37"/>
  <c r="AG37"/>
  <c r="AH37"/>
  <c r="AI37"/>
  <c r="AJ37"/>
  <c r="AN37"/>
  <c r="AO37"/>
  <c r="AP37"/>
  <c r="AY37"/>
  <c r="B38"/>
  <c r="AL38" s="1"/>
  <c r="C38"/>
  <c r="AM38" s="1"/>
  <c r="D38"/>
  <c r="E38"/>
  <c r="G38"/>
  <c r="H38"/>
  <c r="I38"/>
  <c r="J38"/>
  <c r="K38"/>
  <c r="L38"/>
  <c r="M38"/>
  <c r="N38"/>
  <c r="O38"/>
  <c r="P38"/>
  <c r="Q38"/>
  <c r="R38"/>
  <c r="S38"/>
  <c r="T38"/>
  <c r="U38"/>
  <c r="V38"/>
  <c r="W38"/>
  <c r="X38"/>
  <c r="Y38"/>
  <c r="Z38"/>
  <c r="AA38"/>
  <c r="AB38"/>
  <c r="AC38"/>
  <c r="AD38"/>
  <c r="AE38"/>
  <c r="AF38"/>
  <c r="AG38"/>
  <c r="AH38"/>
  <c r="AI38"/>
  <c r="AJ38"/>
  <c r="AN38"/>
  <c r="AO38"/>
  <c r="AP38"/>
  <c r="AY38"/>
  <c r="B39"/>
  <c r="AL39" s="1"/>
  <c r="C39"/>
  <c r="AM39" s="1"/>
  <c r="D39"/>
  <c r="E39"/>
  <c r="G39"/>
  <c r="H39"/>
  <c r="I39"/>
  <c r="J39"/>
  <c r="K39"/>
  <c r="L39"/>
  <c r="M39"/>
  <c r="N39"/>
  <c r="O39"/>
  <c r="P39"/>
  <c r="Q39"/>
  <c r="R39"/>
  <c r="S39"/>
  <c r="T39"/>
  <c r="U39"/>
  <c r="V39"/>
  <c r="W39"/>
  <c r="X39"/>
  <c r="Y39"/>
  <c r="Z39"/>
  <c r="AA39"/>
  <c r="AB39"/>
  <c r="AC39"/>
  <c r="AD39"/>
  <c r="AE39"/>
  <c r="AF39"/>
  <c r="AG39"/>
  <c r="AH39"/>
  <c r="AI39"/>
  <c r="AJ39"/>
  <c r="AN39"/>
  <c r="AO39"/>
  <c r="AP39"/>
  <c r="AY39"/>
  <c r="B40"/>
  <c r="AL40" s="1"/>
  <c r="C40"/>
  <c r="AM40" s="1"/>
  <c r="D40"/>
  <c r="E40"/>
  <c r="G40"/>
  <c r="H40"/>
  <c r="I40"/>
  <c r="J40"/>
  <c r="K40"/>
  <c r="L40"/>
  <c r="M40"/>
  <c r="N40"/>
  <c r="O40"/>
  <c r="P40"/>
  <c r="Q40"/>
  <c r="R40"/>
  <c r="S40"/>
  <c r="T40"/>
  <c r="U40"/>
  <c r="V40"/>
  <c r="W40"/>
  <c r="X40"/>
  <c r="Y40"/>
  <c r="Z40"/>
  <c r="AA40"/>
  <c r="AB40"/>
  <c r="AC40"/>
  <c r="AD40"/>
  <c r="AE40"/>
  <c r="AF40"/>
  <c r="AG40"/>
  <c r="AH40"/>
  <c r="AI40"/>
  <c r="AJ40"/>
  <c r="AN40"/>
  <c r="AO40"/>
  <c r="AP40"/>
  <c r="AY40"/>
  <c r="B41"/>
  <c r="AL41" s="1"/>
  <c r="C41"/>
  <c r="AM41" s="1"/>
  <c r="D41"/>
  <c r="E41"/>
  <c r="G41"/>
  <c r="H41"/>
  <c r="I41"/>
  <c r="J41"/>
  <c r="K41"/>
  <c r="L41"/>
  <c r="M41"/>
  <c r="N41"/>
  <c r="O41"/>
  <c r="P41"/>
  <c r="Q41"/>
  <c r="R41"/>
  <c r="S41"/>
  <c r="T41"/>
  <c r="U41"/>
  <c r="V41"/>
  <c r="W41"/>
  <c r="X41"/>
  <c r="Y41"/>
  <c r="Z41"/>
  <c r="AA41"/>
  <c r="AB41"/>
  <c r="AC41"/>
  <c r="AD41"/>
  <c r="AE41"/>
  <c r="AF41"/>
  <c r="AG41"/>
  <c r="AH41"/>
  <c r="AI41"/>
  <c r="AJ41"/>
  <c r="AN41"/>
  <c r="AO41"/>
  <c r="AP41"/>
  <c r="AY41"/>
  <c r="B42"/>
  <c r="AL42" s="1"/>
  <c r="C42"/>
  <c r="AM42" s="1"/>
  <c r="D42"/>
  <c r="E42"/>
  <c r="G42"/>
  <c r="H42"/>
  <c r="I42"/>
  <c r="J42"/>
  <c r="K42"/>
  <c r="L42"/>
  <c r="M42"/>
  <c r="N42"/>
  <c r="O42"/>
  <c r="P42"/>
  <c r="Q42"/>
  <c r="R42"/>
  <c r="S42"/>
  <c r="T42"/>
  <c r="U42"/>
  <c r="V42"/>
  <c r="W42"/>
  <c r="X42"/>
  <c r="Y42"/>
  <c r="Z42"/>
  <c r="AA42"/>
  <c r="AB42"/>
  <c r="AC42"/>
  <c r="AD42"/>
  <c r="AE42"/>
  <c r="AF42"/>
  <c r="AG42"/>
  <c r="AH42"/>
  <c r="AI42"/>
  <c r="AJ42"/>
  <c r="AN42"/>
  <c r="AO42"/>
  <c r="AP42"/>
  <c r="AY42"/>
  <c r="B43"/>
  <c r="AL43" s="1"/>
  <c r="C43"/>
  <c r="AM43" s="1"/>
  <c r="D43"/>
  <c r="E43"/>
  <c r="G43"/>
  <c r="H43"/>
  <c r="I43"/>
  <c r="J43"/>
  <c r="K43"/>
  <c r="L43"/>
  <c r="M43"/>
  <c r="O43" s="1"/>
  <c r="N43"/>
  <c r="P43"/>
  <c r="Q43"/>
  <c r="R43"/>
  <c r="S43"/>
  <c r="T43"/>
  <c r="U43"/>
  <c r="V43"/>
  <c r="X43" s="1"/>
  <c r="W43"/>
  <c r="Y43"/>
  <c r="AA43" s="1"/>
  <c r="Z43"/>
  <c r="AB43"/>
  <c r="AC43"/>
  <c r="AD43"/>
  <c r="AE43"/>
  <c r="AF43"/>
  <c r="AG43"/>
  <c r="AH43"/>
  <c r="AJ43" s="1"/>
  <c r="AI43"/>
  <c r="AN43"/>
  <c r="AO43"/>
  <c r="AP43"/>
  <c r="AY43"/>
  <c r="B44"/>
  <c r="AL44" s="1"/>
  <c r="C44"/>
  <c r="AM44" s="1"/>
  <c r="D44"/>
  <c r="F44" s="1"/>
  <c r="AR44" s="1"/>
  <c r="E44"/>
  <c r="G44"/>
  <c r="H44"/>
  <c r="I44"/>
  <c r="J44"/>
  <c r="K44"/>
  <c r="L44"/>
  <c r="M44"/>
  <c r="N44"/>
  <c r="O44"/>
  <c r="P44"/>
  <c r="Q44"/>
  <c r="R44"/>
  <c r="S44"/>
  <c r="T44"/>
  <c r="U44"/>
  <c r="V44"/>
  <c r="W44"/>
  <c r="X44"/>
  <c r="Y44"/>
  <c r="Z44"/>
  <c r="AA44"/>
  <c r="AB44"/>
  <c r="AC44"/>
  <c r="AD44"/>
  <c r="AE44"/>
  <c r="AF44"/>
  <c r="AG44"/>
  <c r="AH44"/>
  <c r="AI44"/>
  <c r="AJ44"/>
  <c r="AN44"/>
  <c r="AO44"/>
  <c r="AP44"/>
  <c r="AY44"/>
  <c r="B45"/>
  <c r="AL45" s="1"/>
  <c r="C45"/>
  <c r="AM45" s="1"/>
  <c r="D45"/>
  <c r="E45"/>
  <c r="J45"/>
  <c r="K45"/>
  <c r="L45"/>
  <c r="M45"/>
  <c r="O45" s="1"/>
  <c r="N45"/>
  <c r="P45"/>
  <c r="Q45"/>
  <c r="R45"/>
  <c r="S45"/>
  <c r="T45"/>
  <c r="AQ45" s="1"/>
  <c r="U45"/>
  <c r="V45"/>
  <c r="W45"/>
  <c r="X45"/>
  <c r="Y45"/>
  <c r="Z45"/>
  <c r="Z61" s="1"/>
  <c r="AA45"/>
  <c r="AB45"/>
  <c r="AC45"/>
  <c r="AD45"/>
  <c r="AE45"/>
  <c r="AF45"/>
  <c r="AG45"/>
  <c r="AH45"/>
  <c r="AI45"/>
  <c r="AJ45"/>
  <c r="AN45"/>
  <c r="AO45"/>
  <c r="AP45"/>
  <c r="AY45"/>
  <c r="B46"/>
  <c r="C46"/>
  <c r="AM46"/>
  <c r="D46"/>
  <c r="E46"/>
  <c r="J46"/>
  <c r="K46"/>
  <c r="L46"/>
  <c r="M46"/>
  <c r="N46"/>
  <c r="O46"/>
  <c r="P46"/>
  <c r="Q46"/>
  <c r="R46"/>
  <c r="S46"/>
  <c r="T46"/>
  <c r="U46"/>
  <c r="V46"/>
  <c r="W46"/>
  <c r="X46"/>
  <c r="Y46"/>
  <c r="Z46"/>
  <c r="AA46"/>
  <c r="AB46"/>
  <c r="AC46"/>
  <c r="AD46"/>
  <c r="AE46"/>
  <c r="AF46"/>
  <c r="AG46"/>
  <c r="AH46"/>
  <c r="AI46"/>
  <c r="AJ46"/>
  <c r="AL46"/>
  <c r="AN46"/>
  <c r="AO46"/>
  <c r="AP46"/>
  <c r="AY46"/>
  <c r="B47"/>
  <c r="AL47"/>
  <c r="C47"/>
  <c r="AM47"/>
  <c r="D47"/>
  <c r="E47"/>
  <c r="G47"/>
  <c r="H47"/>
  <c r="I47"/>
  <c r="J47"/>
  <c r="K47"/>
  <c r="L47"/>
  <c r="M47"/>
  <c r="N47"/>
  <c r="O47"/>
  <c r="P47"/>
  <c r="Q47"/>
  <c r="R47"/>
  <c r="S47"/>
  <c r="S61" s="1"/>
  <c r="T47"/>
  <c r="U47"/>
  <c r="V47"/>
  <c r="W47"/>
  <c r="X47"/>
  <c r="Y47"/>
  <c r="Z47"/>
  <c r="AA47"/>
  <c r="AB47"/>
  <c r="AC47"/>
  <c r="AD47"/>
  <c r="AE47"/>
  <c r="AF47"/>
  <c r="AG47"/>
  <c r="AH47"/>
  <c r="AI47"/>
  <c r="AJ47"/>
  <c r="AN47"/>
  <c r="AO47"/>
  <c r="AP47"/>
  <c r="AY47"/>
  <c r="B48"/>
  <c r="AL48" s="1"/>
  <c r="C48"/>
  <c r="AM48" s="1"/>
  <c r="D48"/>
  <c r="E48"/>
  <c r="AQ48"/>
  <c r="AS48" s="1"/>
  <c r="G48"/>
  <c r="H48"/>
  <c r="I48"/>
  <c r="J48"/>
  <c r="K48"/>
  <c r="L48"/>
  <c r="M48"/>
  <c r="N48"/>
  <c r="O48"/>
  <c r="P48"/>
  <c r="Q48"/>
  <c r="R48"/>
  <c r="S48"/>
  <c r="T48"/>
  <c r="U48"/>
  <c r="V48"/>
  <c r="W48"/>
  <c r="X48"/>
  <c r="Y48"/>
  <c r="Z48"/>
  <c r="AA48"/>
  <c r="AB48"/>
  <c r="AC48"/>
  <c r="AD48"/>
  <c r="AE48"/>
  <c r="AF48"/>
  <c r="AG48"/>
  <c r="AH48"/>
  <c r="AI48"/>
  <c r="AJ48"/>
  <c r="AN48"/>
  <c r="AO48"/>
  <c r="AP48"/>
  <c r="AY48"/>
  <c r="B49"/>
  <c r="AL49" s="1"/>
  <c r="C49"/>
  <c r="AM49" s="1"/>
  <c r="D49"/>
  <c r="E49"/>
  <c r="G49"/>
  <c r="H49"/>
  <c r="I49"/>
  <c r="J49"/>
  <c r="K49"/>
  <c r="L49"/>
  <c r="M49"/>
  <c r="N49"/>
  <c r="O49"/>
  <c r="P49"/>
  <c r="Q49"/>
  <c r="R49"/>
  <c r="S49"/>
  <c r="T49"/>
  <c r="U49"/>
  <c r="V49"/>
  <c r="W49"/>
  <c r="X49"/>
  <c r="Y49"/>
  <c r="Z49"/>
  <c r="AA49"/>
  <c r="AB49"/>
  <c r="AC49"/>
  <c r="AD49"/>
  <c r="AE49"/>
  <c r="AF49"/>
  <c r="AG49"/>
  <c r="AH49"/>
  <c r="AI49"/>
  <c r="AJ49"/>
  <c r="AN49"/>
  <c r="AO49"/>
  <c r="AP49"/>
  <c r="AY49"/>
  <c r="B50"/>
  <c r="AL50"/>
  <c r="C50"/>
  <c r="AM50"/>
  <c r="D50"/>
  <c r="E50"/>
  <c r="G50"/>
  <c r="H50"/>
  <c r="I50"/>
  <c r="J50"/>
  <c r="J61" s="1"/>
  <c r="K50"/>
  <c r="L50"/>
  <c r="M50"/>
  <c r="N50"/>
  <c r="O50"/>
  <c r="P50"/>
  <c r="Q50"/>
  <c r="R50"/>
  <c r="S50"/>
  <c r="T50"/>
  <c r="U50"/>
  <c r="V50"/>
  <c r="W50"/>
  <c r="X50"/>
  <c r="Y50"/>
  <c r="Z50"/>
  <c r="AA50"/>
  <c r="AB50"/>
  <c r="AC50"/>
  <c r="AD50"/>
  <c r="AE50"/>
  <c r="AF50"/>
  <c r="AG50"/>
  <c r="AH50"/>
  <c r="AI50"/>
  <c r="AJ50"/>
  <c r="AN50"/>
  <c r="AO50"/>
  <c r="AP50"/>
  <c r="AY50"/>
  <c r="B51"/>
  <c r="AL51" s="1"/>
  <c r="C51"/>
  <c r="AM51" s="1"/>
  <c r="D51"/>
  <c r="E51"/>
  <c r="G51"/>
  <c r="H51"/>
  <c r="I51"/>
  <c r="J51"/>
  <c r="K51"/>
  <c r="L51"/>
  <c r="M51"/>
  <c r="N51"/>
  <c r="O51"/>
  <c r="P51"/>
  <c r="Q51"/>
  <c r="R51"/>
  <c r="S51"/>
  <c r="T51"/>
  <c r="U51"/>
  <c r="V51"/>
  <c r="W51"/>
  <c r="X51"/>
  <c r="Y51"/>
  <c r="Z51"/>
  <c r="AA51"/>
  <c r="AB51"/>
  <c r="AC51"/>
  <c r="AD51"/>
  <c r="AE51"/>
  <c r="AF51"/>
  <c r="AG51"/>
  <c r="AH51"/>
  <c r="AI51"/>
  <c r="AJ51"/>
  <c r="AN51"/>
  <c r="AO51"/>
  <c r="AP51"/>
  <c r="AY51"/>
  <c r="B52"/>
  <c r="AL52" s="1"/>
  <c r="C52"/>
  <c r="AM52" s="1"/>
  <c r="D52"/>
  <c r="E52"/>
  <c r="G52"/>
  <c r="H52"/>
  <c r="I52"/>
  <c r="J52"/>
  <c r="K52"/>
  <c r="L52"/>
  <c r="M52"/>
  <c r="N52"/>
  <c r="O52"/>
  <c r="P52"/>
  <c r="Q52"/>
  <c r="R52"/>
  <c r="S52"/>
  <c r="T52"/>
  <c r="U52"/>
  <c r="V52"/>
  <c r="W52"/>
  <c r="X52"/>
  <c r="Y52"/>
  <c r="Z52"/>
  <c r="AA52"/>
  <c r="AB52"/>
  <c r="AC52"/>
  <c r="AD52"/>
  <c r="AE52"/>
  <c r="AF52"/>
  <c r="AG52"/>
  <c r="AH52"/>
  <c r="AI52"/>
  <c r="AJ52"/>
  <c r="AN52"/>
  <c r="AO52"/>
  <c r="AP52"/>
  <c r="AY52"/>
  <c r="D53"/>
  <c r="E53"/>
  <c r="G53"/>
  <c r="H53"/>
  <c r="I53"/>
  <c r="J53"/>
  <c r="K53"/>
  <c r="L53"/>
  <c r="M53"/>
  <c r="N53"/>
  <c r="O53"/>
  <c r="P53"/>
  <c r="Q53"/>
  <c r="R53"/>
  <c r="S53"/>
  <c r="T53"/>
  <c r="U53"/>
  <c r="V53"/>
  <c r="W53"/>
  <c r="X53"/>
  <c r="Y53"/>
  <c r="Z53"/>
  <c r="AA53"/>
  <c r="AB53"/>
  <c r="AC53"/>
  <c r="AD53"/>
  <c r="AE53"/>
  <c r="AF53"/>
  <c r="AG53"/>
  <c r="AH53"/>
  <c r="AI53"/>
  <c r="AJ53"/>
  <c r="AL53"/>
  <c r="AM53"/>
  <c r="AN53"/>
  <c r="AO53"/>
  <c r="AP53"/>
  <c r="AY53"/>
  <c r="D54"/>
  <c r="F54" s="1"/>
  <c r="AR54" s="1"/>
  <c r="E54"/>
  <c r="G54"/>
  <c r="H54"/>
  <c r="I54"/>
  <c r="J54"/>
  <c r="K54"/>
  <c r="L54"/>
  <c r="M54"/>
  <c r="N54"/>
  <c r="O54"/>
  <c r="P54"/>
  <c r="Q54"/>
  <c r="R54"/>
  <c r="S54"/>
  <c r="T54"/>
  <c r="U54"/>
  <c r="V54"/>
  <c r="W54"/>
  <c r="X54"/>
  <c r="Y54"/>
  <c r="Z54"/>
  <c r="AA54"/>
  <c r="AB54"/>
  <c r="AC54"/>
  <c r="AD54"/>
  <c r="AE54"/>
  <c r="AF54"/>
  <c r="AG54"/>
  <c r="AH54"/>
  <c r="AI54"/>
  <c r="AJ54"/>
  <c r="AL54"/>
  <c r="AM54"/>
  <c r="AN54"/>
  <c r="AO54"/>
  <c r="AP54"/>
  <c r="AY54"/>
  <c r="D55"/>
  <c r="E55"/>
  <c r="G55"/>
  <c r="H55"/>
  <c r="I55"/>
  <c r="J55"/>
  <c r="K55"/>
  <c r="L55"/>
  <c r="M55"/>
  <c r="N55"/>
  <c r="O55"/>
  <c r="P55"/>
  <c r="Q55"/>
  <c r="R55"/>
  <c r="S55"/>
  <c r="T55"/>
  <c r="U55"/>
  <c r="V55"/>
  <c r="W55"/>
  <c r="X55"/>
  <c r="Y55"/>
  <c r="Z55"/>
  <c r="AA55"/>
  <c r="AB55"/>
  <c r="AC55"/>
  <c r="AD55"/>
  <c r="AE55"/>
  <c r="AF55"/>
  <c r="AG55"/>
  <c r="AH55"/>
  <c r="AI55"/>
  <c r="AJ55"/>
  <c r="AL55"/>
  <c r="AM55"/>
  <c r="AN55"/>
  <c r="AO55"/>
  <c r="AP55"/>
  <c r="AY55"/>
  <c r="D56"/>
  <c r="F56" s="1"/>
  <c r="AR56" s="1"/>
  <c r="E56"/>
  <c r="G56"/>
  <c r="H56"/>
  <c r="I56"/>
  <c r="J56"/>
  <c r="K56"/>
  <c r="L56"/>
  <c r="M56"/>
  <c r="N56"/>
  <c r="O56"/>
  <c r="P56"/>
  <c r="Q56"/>
  <c r="R56"/>
  <c r="S56"/>
  <c r="T56"/>
  <c r="U56"/>
  <c r="V56"/>
  <c r="W56"/>
  <c r="X56"/>
  <c r="Y56"/>
  <c r="Z56"/>
  <c r="AA56"/>
  <c r="AB56"/>
  <c r="AC56"/>
  <c r="AD56"/>
  <c r="AE56"/>
  <c r="AF56"/>
  <c r="AG56"/>
  <c r="AH56"/>
  <c r="AI56"/>
  <c r="AJ56"/>
  <c r="AL56"/>
  <c r="AM56"/>
  <c r="AN56"/>
  <c r="AO56"/>
  <c r="AP56"/>
  <c r="AY56"/>
  <c r="D57"/>
  <c r="F57" s="1"/>
  <c r="E57"/>
  <c r="G57"/>
  <c r="H57"/>
  <c r="I57"/>
  <c r="J57"/>
  <c r="K57"/>
  <c r="L57"/>
  <c r="M57"/>
  <c r="N57"/>
  <c r="O57"/>
  <c r="P57"/>
  <c r="Q57"/>
  <c r="R57"/>
  <c r="S57"/>
  <c r="T57"/>
  <c r="U57"/>
  <c r="V57"/>
  <c r="W57"/>
  <c r="X57"/>
  <c r="Y57"/>
  <c r="Z57"/>
  <c r="AA57"/>
  <c r="AB57"/>
  <c r="AC57"/>
  <c r="AD57"/>
  <c r="AE57"/>
  <c r="AF57"/>
  <c r="AG57"/>
  <c r="AH57"/>
  <c r="AI57"/>
  <c r="AJ57"/>
  <c r="AL57"/>
  <c r="AM57"/>
  <c r="AN57"/>
  <c r="AO57"/>
  <c r="AP57"/>
  <c r="AY57"/>
  <c r="D58"/>
  <c r="F58" s="1"/>
  <c r="AR58" s="1"/>
  <c r="E58"/>
  <c r="G58"/>
  <c r="H58"/>
  <c r="I58"/>
  <c r="J58"/>
  <c r="K58"/>
  <c r="L58"/>
  <c r="M58"/>
  <c r="N58"/>
  <c r="O58"/>
  <c r="P58"/>
  <c r="Q58"/>
  <c r="R58"/>
  <c r="S58"/>
  <c r="T58"/>
  <c r="U58"/>
  <c r="V58"/>
  <c r="W58"/>
  <c r="X58"/>
  <c r="Y58"/>
  <c r="Z58"/>
  <c r="AA58"/>
  <c r="AB58"/>
  <c r="AC58"/>
  <c r="AD58"/>
  <c r="AE58"/>
  <c r="AF58"/>
  <c r="AG58"/>
  <c r="AH58"/>
  <c r="AI58"/>
  <c r="AJ58"/>
  <c r="AL58"/>
  <c r="AM58"/>
  <c r="AN58"/>
  <c r="AO58"/>
  <c r="AP58"/>
  <c r="AY58"/>
  <c r="D59"/>
  <c r="E59"/>
  <c r="G59"/>
  <c r="H59"/>
  <c r="I59"/>
  <c r="J59"/>
  <c r="K59"/>
  <c r="L59"/>
  <c r="M59"/>
  <c r="N59"/>
  <c r="O59"/>
  <c r="P59"/>
  <c r="Q59"/>
  <c r="R59"/>
  <c r="R61"/>
  <c r="S59"/>
  <c r="T59"/>
  <c r="U59"/>
  <c r="V59"/>
  <c r="W59"/>
  <c r="X59"/>
  <c r="Y59"/>
  <c r="Z59"/>
  <c r="AA59"/>
  <c r="AB59"/>
  <c r="AC59"/>
  <c r="AD59"/>
  <c r="AE59"/>
  <c r="AF59"/>
  <c r="AG59"/>
  <c r="AH59"/>
  <c r="AI59"/>
  <c r="AJ59"/>
  <c r="AL59"/>
  <c r="AM59"/>
  <c r="AN59"/>
  <c r="AO59"/>
  <c r="AP59"/>
  <c r="AY59"/>
  <c r="D60"/>
  <c r="D61"/>
  <c r="E60"/>
  <c r="G60"/>
  <c r="H60"/>
  <c r="I60"/>
  <c r="J60"/>
  <c r="K60"/>
  <c r="L60"/>
  <c r="M60"/>
  <c r="N60"/>
  <c r="O60"/>
  <c r="P60"/>
  <c r="Q60"/>
  <c r="R60"/>
  <c r="S60"/>
  <c r="H61" i="7" s="1"/>
  <c r="D61" s="1"/>
  <c r="E61" s="1"/>
  <c r="T60" i="3"/>
  <c r="U60"/>
  <c r="V60"/>
  <c r="W60"/>
  <c r="X60"/>
  <c r="Y60"/>
  <c r="Z60"/>
  <c r="AA60"/>
  <c r="AB60"/>
  <c r="AC60"/>
  <c r="AD60"/>
  <c r="AE60"/>
  <c r="AF60"/>
  <c r="AG60"/>
  <c r="AH60"/>
  <c r="AI60"/>
  <c r="AJ60"/>
  <c r="AL60"/>
  <c r="AM60"/>
  <c r="AN60"/>
  <c r="AO60"/>
  <c r="AY60"/>
  <c r="C1" i="24"/>
  <c r="C4"/>
  <c r="AP9"/>
  <c r="F10"/>
  <c r="I10"/>
  <c r="J10"/>
  <c r="K10"/>
  <c r="N10"/>
  <c r="Q10"/>
  <c r="T10"/>
  <c r="W10"/>
  <c r="Z10"/>
  <c r="AC10"/>
  <c r="AF10"/>
  <c r="AI10"/>
  <c r="AL10"/>
  <c r="AM10"/>
  <c r="AO10"/>
  <c r="AP10"/>
  <c r="AT10"/>
  <c r="AV10"/>
  <c r="AW10"/>
  <c r="AX10"/>
  <c r="F11"/>
  <c r="J11"/>
  <c r="K11"/>
  <c r="N11"/>
  <c r="Q11"/>
  <c r="T11"/>
  <c r="W11"/>
  <c r="Z11"/>
  <c r="AC11"/>
  <c r="AF11"/>
  <c r="AI11"/>
  <c r="AL11"/>
  <c r="AM11"/>
  <c r="AO11"/>
  <c r="AP11"/>
  <c r="AT11"/>
  <c r="AV11"/>
  <c r="AW11"/>
  <c r="AX11"/>
  <c r="E12"/>
  <c r="F12"/>
  <c r="J12"/>
  <c r="K12"/>
  <c r="N12"/>
  <c r="Q12"/>
  <c r="T12"/>
  <c r="W12"/>
  <c r="Z12"/>
  <c r="AC12"/>
  <c r="AF12"/>
  <c r="AI12"/>
  <c r="AL12"/>
  <c r="AM12"/>
  <c r="AO12"/>
  <c r="AP12"/>
  <c r="AT12"/>
  <c r="AV12"/>
  <c r="AW12"/>
  <c r="AX12"/>
  <c r="F13"/>
  <c r="J13"/>
  <c r="K13"/>
  <c r="N13"/>
  <c r="Q13"/>
  <c r="T13"/>
  <c r="W13"/>
  <c r="Z13"/>
  <c r="AC13"/>
  <c r="AF13"/>
  <c r="AI13"/>
  <c r="AL13"/>
  <c r="AM13"/>
  <c r="AO13"/>
  <c r="AP13"/>
  <c r="AT13"/>
  <c r="AV13"/>
  <c r="AW13"/>
  <c r="AX13"/>
  <c r="F14"/>
  <c r="J14"/>
  <c r="K14"/>
  <c r="N14"/>
  <c r="Q14"/>
  <c r="T14"/>
  <c r="W14"/>
  <c r="Z14"/>
  <c r="AC14"/>
  <c r="AF14"/>
  <c r="AI14"/>
  <c r="AL14"/>
  <c r="AM14"/>
  <c r="AO14"/>
  <c r="AP14"/>
  <c r="AT14"/>
  <c r="AV14"/>
  <c r="AW14"/>
  <c r="AX14"/>
  <c r="F15"/>
  <c r="J15"/>
  <c r="K15"/>
  <c r="N15"/>
  <c r="Q15"/>
  <c r="T15"/>
  <c r="W15"/>
  <c r="Z15"/>
  <c r="AC15"/>
  <c r="AF15"/>
  <c r="AI15"/>
  <c r="AL15"/>
  <c r="AM15"/>
  <c r="AO15"/>
  <c r="AP15"/>
  <c r="AT15"/>
  <c r="AV15"/>
  <c r="AW15"/>
  <c r="AX15"/>
  <c r="F16"/>
  <c r="J16"/>
  <c r="K16"/>
  <c r="N16"/>
  <c r="Q16"/>
  <c r="T16"/>
  <c r="W16"/>
  <c r="Z16"/>
  <c r="AC16"/>
  <c r="AF16"/>
  <c r="AI16"/>
  <c r="AL16"/>
  <c r="AM16"/>
  <c r="AO16"/>
  <c r="AP16"/>
  <c r="AT16"/>
  <c r="AV16"/>
  <c r="AW16"/>
  <c r="AX16"/>
  <c r="F17"/>
  <c r="J17"/>
  <c r="K17"/>
  <c r="N17"/>
  <c r="Q17"/>
  <c r="T17"/>
  <c r="W17"/>
  <c r="Z17"/>
  <c r="AC17"/>
  <c r="AF17"/>
  <c r="AI17"/>
  <c r="AL17"/>
  <c r="AM17"/>
  <c r="AO17"/>
  <c r="AP17"/>
  <c r="AT17"/>
  <c r="AV17"/>
  <c r="AW17"/>
  <c r="AX17"/>
  <c r="F18"/>
  <c r="J18"/>
  <c r="K18"/>
  <c r="N18"/>
  <c r="Q18"/>
  <c r="T18"/>
  <c r="W18"/>
  <c r="Z18"/>
  <c r="AC18"/>
  <c r="AF18"/>
  <c r="AI18"/>
  <c r="AL18"/>
  <c r="AM18"/>
  <c r="AO18"/>
  <c r="AP18"/>
  <c r="AT18"/>
  <c r="AV18"/>
  <c r="AW18"/>
  <c r="AX18"/>
  <c r="F19"/>
  <c r="J19"/>
  <c r="K19"/>
  <c r="N19"/>
  <c r="Q19"/>
  <c r="T19"/>
  <c r="W19"/>
  <c r="Z19"/>
  <c r="AC19"/>
  <c r="AF19"/>
  <c r="AI19"/>
  <c r="AL19"/>
  <c r="AM19"/>
  <c r="AO19"/>
  <c r="AP19"/>
  <c r="AT19"/>
  <c r="AV19"/>
  <c r="AW19"/>
  <c r="AX19"/>
  <c r="F20"/>
  <c r="J20"/>
  <c r="K20"/>
  <c r="N20"/>
  <c r="Q20"/>
  <c r="T20"/>
  <c r="W20"/>
  <c r="Z20"/>
  <c r="AC20"/>
  <c r="AF20"/>
  <c r="AI20"/>
  <c r="AL20"/>
  <c r="AM20"/>
  <c r="AO20"/>
  <c r="AP20"/>
  <c r="AT20"/>
  <c r="AV20"/>
  <c r="AW20"/>
  <c r="AX20"/>
  <c r="F21"/>
  <c r="J21"/>
  <c r="K21"/>
  <c r="N21"/>
  <c r="Q21"/>
  <c r="T21"/>
  <c r="W21"/>
  <c r="Z21"/>
  <c r="AC21"/>
  <c r="AF21"/>
  <c r="AI21"/>
  <c r="AL21"/>
  <c r="AM21"/>
  <c r="AO21"/>
  <c r="AP21"/>
  <c r="AT21"/>
  <c r="AV21"/>
  <c r="AW21"/>
  <c r="AX21"/>
  <c r="F22"/>
  <c r="J22"/>
  <c r="K22"/>
  <c r="N22"/>
  <c r="Q22"/>
  <c r="T22"/>
  <c r="W22"/>
  <c r="Z22"/>
  <c r="AC22"/>
  <c r="AF22"/>
  <c r="AI22"/>
  <c r="AL22"/>
  <c r="AM22"/>
  <c r="AO22"/>
  <c r="AP22"/>
  <c r="AT22"/>
  <c r="AV22"/>
  <c r="AW22"/>
  <c r="AX22"/>
  <c r="F23"/>
  <c r="J23"/>
  <c r="K23"/>
  <c r="N23"/>
  <c r="Q23"/>
  <c r="T23"/>
  <c r="W23"/>
  <c r="Z23"/>
  <c r="AC23"/>
  <c r="AF23"/>
  <c r="AI23"/>
  <c r="AK23"/>
  <c r="AL23"/>
  <c r="AM23"/>
  <c r="AO23"/>
  <c r="AP23"/>
  <c r="AT23"/>
  <c r="AV23"/>
  <c r="AW23"/>
  <c r="AX23"/>
  <c r="F24"/>
  <c r="J24"/>
  <c r="K24"/>
  <c r="N24"/>
  <c r="Q24"/>
  <c r="T24"/>
  <c r="W24"/>
  <c r="Z24"/>
  <c r="AC24"/>
  <c r="AF24"/>
  <c r="AI24"/>
  <c r="AL24"/>
  <c r="AM24"/>
  <c r="AO24"/>
  <c r="AP24"/>
  <c r="AT24"/>
  <c r="AV24"/>
  <c r="AW24"/>
  <c r="AX24"/>
  <c r="F25"/>
  <c r="J25"/>
  <c r="K25"/>
  <c r="N25"/>
  <c r="Q25"/>
  <c r="T25"/>
  <c r="W25"/>
  <c r="Z25"/>
  <c r="AC25"/>
  <c r="AF25"/>
  <c r="AI25"/>
  <c r="AL25"/>
  <c r="AM25"/>
  <c r="AO25"/>
  <c r="AP25"/>
  <c r="AT25"/>
  <c r="AV25"/>
  <c r="AW25"/>
  <c r="AX25"/>
  <c r="F26"/>
  <c r="F61"/>
  <c r="J26"/>
  <c r="K26"/>
  <c r="N26"/>
  <c r="Q26"/>
  <c r="T26"/>
  <c r="W26"/>
  <c r="Z26"/>
  <c r="AC26"/>
  <c r="AF26"/>
  <c r="AI26"/>
  <c r="AL26"/>
  <c r="AM26"/>
  <c r="AO26"/>
  <c r="AP26"/>
  <c r="AT26"/>
  <c r="AW26"/>
  <c r="AV26"/>
  <c r="F27"/>
  <c r="J27"/>
  <c r="K27"/>
  <c r="N27"/>
  <c r="Q27"/>
  <c r="T27"/>
  <c r="W27"/>
  <c r="Z27"/>
  <c r="AC27"/>
  <c r="AF27"/>
  <c r="AI27"/>
  <c r="AL27"/>
  <c r="AM27"/>
  <c r="AO27"/>
  <c r="AP27"/>
  <c r="AT27"/>
  <c r="AV27"/>
  <c r="AW27"/>
  <c r="AX27"/>
  <c r="F28"/>
  <c r="J28"/>
  <c r="K28"/>
  <c r="N28"/>
  <c r="Q28"/>
  <c r="T28"/>
  <c r="W28"/>
  <c r="Z28"/>
  <c r="AC28"/>
  <c r="AF28"/>
  <c r="AI28"/>
  <c r="AL28"/>
  <c r="AM28"/>
  <c r="AO28"/>
  <c r="AP28"/>
  <c r="AT28"/>
  <c r="AV28"/>
  <c r="AW28"/>
  <c r="AX28"/>
  <c r="F29"/>
  <c r="J29"/>
  <c r="K29"/>
  <c r="N29"/>
  <c r="Q29"/>
  <c r="T29"/>
  <c r="W29"/>
  <c r="Z29"/>
  <c r="AC29"/>
  <c r="AF29"/>
  <c r="AI29"/>
  <c r="AL29"/>
  <c r="AM29"/>
  <c r="AO29"/>
  <c r="AP29"/>
  <c r="AT29"/>
  <c r="AV29"/>
  <c r="AW29"/>
  <c r="AX29"/>
  <c r="F30"/>
  <c r="J30"/>
  <c r="K30"/>
  <c r="N30"/>
  <c r="Q30"/>
  <c r="T30"/>
  <c r="W30"/>
  <c r="Z30"/>
  <c r="AC30"/>
  <c r="AF30"/>
  <c r="AI30"/>
  <c r="AL30"/>
  <c r="AM30"/>
  <c r="AO30"/>
  <c r="AP30"/>
  <c r="AT30"/>
  <c r="AV30"/>
  <c r="AW30"/>
  <c r="AX30"/>
  <c r="F31"/>
  <c r="J31"/>
  <c r="K31"/>
  <c r="N31"/>
  <c r="Q31"/>
  <c r="T31"/>
  <c r="W31"/>
  <c r="Z31"/>
  <c r="AC31"/>
  <c r="AF31"/>
  <c r="AI31"/>
  <c r="AL31"/>
  <c r="AM31"/>
  <c r="AO31"/>
  <c r="AP31"/>
  <c r="AT31"/>
  <c r="AV31"/>
  <c r="AW31"/>
  <c r="AX31"/>
  <c r="F32"/>
  <c r="J32"/>
  <c r="K32"/>
  <c r="N32"/>
  <c r="Q32"/>
  <c r="T32"/>
  <c r="W32"/>
  <c r="Z32"/>
  <c r="AC32"/>
  <c r="AF32"/>
  <c r="AI32"/>
  <c r="AL32"/>
  <c r="AM32"/>
  <c r="AO32"/>
  <c r="AP32"/>
  <c r="AT32"/>
  <c r="AV32"/>
  <c r="AW32"/>
  <c r="AX32"/>
  <c r="F33"/>
  <c r="J33"/>
  <c r="K33"/>
  <c r="N33"/>
  <c r="Q33"/>
  <c r="T33"/>
  <c r="W33"/>
  <c r="Z33"/>
  <c r="AC33"/>
  <c r="AF33"/>
  <c r="AI33"/>
  <c r="AJ33"/>
  <c r="AL33"/>
  <c r="AM33"/>
  <c r="AO33"/>
  <c r="AP33"/>
  <c r="AT33"/>
  <c r="AV33"/>
  <c r="AW33"/>
  <c r="AX33"/>
  <c r="F34"/>
  <c r="J34"/>
  <c r="K34"/>
  <c r="N34"/>
  <c r="Q34"/>
  <c r="T34"/>
  <c r="W34"/>
  <c r="Z34"/>
  <c r="AC34"/>
  <c r="AF34"/>
  <c r="AI34"/>
  <c r="AL34"/>
  <c r="AM34"/>
  <c r="AO34"/>
  <c r="AP34"/>
  <c r="AT34"/>
  <c r="AV34"/>
  <c r="AW34"/>
  <c r="AX34"/>
  <c r="F35"/>
  <c r="J35"/>
  <c r="K35"/>
  <c r="N35"/>
  <c r="Q35"/>
  <c r="T35"/>
  <c r="W35"/>
  <c r="Z35"/>
  <c r="AC35"/>
  <c r="AF35"/>
  <c r="AI35"/>
  <c r="AL35"/>
  <c r="AM35"/>
  <c r="AO35"/>
  <c r="AP35"/>
  <c r="AT35"/>
  <c r="AV35"/>
  <c r="AW35"/>
  <c r="AX35"/>
  <c r="F36"/>
  <c r="J36"/>
  <c r="K36"/>
  <c r="N36"/>
  <c r="Q36"/>
  <c r="T36"/>
  <c r="W36"/>
  <c r="Z36"/>
  <c r="AC36"/>
  <c r="AF36"/>
  <c r="AI36"/>
  <c r="AL36"/>
  <c r="AM36"/>
  <c r="AO36"/>
  <c r="AP36"/>
  <c r="AT36"/>
  <c r="AV36"/>
  <c r="AW36"/>
  <c r="AX36"/>
  <c r="F37"/>
  <c r="J37"/>
  <c r="K37"/>
  <c r="N37"/>
  <c r="Q37"/>
  <c r="T37"/>
  <c r="W37"/>
  <c r="Z37"/>
  <c r="AC37"/>
  <c r="AF37"/>
  <c r="AI37"/>
  <c r="AL37"/>
  <c r="AM37"/>
  <c r="AO37"/>
  <c r="AP37"/>
  <c r="AT37"/>
  <c r="AV37"/>
  <c r="AW37"/>
  <c r="AX37"/>
  <c r="F38"/>
  <c r="J38"/>
  <c r="K38"/>
  <c r="N38"/>
  <c r="Q38"/>
  <c r="T38"/>
  <c r="W38"/>
  <c r="Z38"/>
  <c r="AC38"/>
  <c r="AF38"/>
  <c r="AI38"/>
  <c r="AL38"/>
  <c r="AM38"/>
  <c r="AO38"/>
  <c r="AP38"/>
  <c r="AT38"/>
  <c r="AV38"/>
  <c r="AW38"/>
  <c r="AX38"/>
  <c r="F39"/>
  <c r="J39"/>
  <c r="K39"/>
  <c r="N39"/>
  <c r="Q39"/>
  <c r="T39"/>
  <c r="W39"/>
  <c r="Z39"/>
  <c r="AC39"/>
  <c r="AF39"/>
  <c r="AI39"/>
  <c r="AL39"/>
  <c r="AM39"/>
  <c r="AO39"/>
  <c r="AP39"/>
  <c r="AT39"/>
  <c r="AV39"/>
  <c r="AW39"/>
  <c r="AX39"/>
  <c r="F40"/>
  <c r="J40"/>
  <c r="K40"/>
  <c r="N40"/>
  <c r="Q40"/>
  <c r="T40"/>
  <c r="W40"/>
  <c r="Z40"/>
  <c r="AC40"/>
  <c r="AF40"/>
  <c r="AI40"/>
  <c r="AL40"/>
  <c r="AM40"/>
  <c r="AO40"/>
  <c r="AP40"/>
  <c r="AT40"/>
  <c r="AV40"/>
  <c r="AW40"/>
  <c r="AX40"/>
  <c r="F41"/>
  <c r="J41"/>
  <c r="K41"/>
  <c r="N41"/>
  <c r="Q41"/>
  <c r="T41"/>
  <c r="W41"/>
  <c r="Z41"/>
  <c r="AC41"/>
  <c r="AF41"/>
  <c r="AI41"/>
  <c r="AL41"/>
  <c r="AM41"/>
  <c r="AO41"/>
  <c r="AP41"/>
  <c r="AT41"/>
  <c r="AV41"/>
  <c r="AW41"/>
  <c r="AX41"/>
  <c r="F42"/>
  <c r="J42"/>
  <c r="K42"/>
  <c r="N42"/>
  <c r="Q42"/>
  <c r="T42"/>
  <c r="W42"/>
  <c r="Z42"/>
  <c r="AC42"/>
  <c r="AF42"/>
  <c r="AI42"/>
  <c r="AL42"/>
  <c r="AM42"/>
  <c r="AO42"/>
  <c r="AP42"/>
  <c r="AT42"/>
  <c r="AV42"/>
  <c r="AW42"/>
  <c r="AX42"/>
  <c r="F43"/>
  <c r="J43"/>
  <c r="K43"/>
  <c r="N43"/>
  <c r="Q43"/>
  <c r="T43"/>
  <c r="W43"/>
  <c r="Z43"/>
  <c r="AC43"/>
  <c r="AF43"/>
  <c r="AI43"/>
  <c r="AL43"/>
  <c r="AM43"/>
  <c r="AO43"/>
  <c r="AP43"/>
  <c r="AT43"/>
  <c r="AV43"/>
  <c r="AW43"/>
  <c r="AX43"/>
  <c r="F44"/>
  <c r="J44"/>
  <c r="K44"/>
  <c r="N44"/>
  <c r="Q44"/>
  <c r="T44"/>
  <c r="W44"/>
  <c r="Z44"/>
  <c r="AC44"/>
  <c r="AF44"/>
  <c r="AI44"/>
  <c r="AL44"/>
  <c r="AM44"/>
  <c r="AO44"/>
  <c r="AP44"/>
  <c r="AT44"/>
  <c r="AV44"/>
  <c r="AW44"/>
  <c r="AX44"/>
  <c r="F45"/>
  <c r="K45"/>
  <c r="H45" i="3"/>
  <c r="N45" i="24"/>
  <c r="N61" s="1"/>
  <c r="Q45"/>
  <c r="T45"/>
  <c r="W45"/>
  <c r="Z45"/>
  <c r="AC45"/>
  <c r="AF45"/>
  <c r="AI45"/>
  <c r="AL45"/>
  <c r="AM45"/>
  <c r="AO45"/>
  <c r="AP45"/>
  <c r="AT45"/>
  <c r="AV45"/>
  <c r="F46"/>
  <c r="G46" i="3"/>
  <c r="I46" s="1"/>
  <c r="N46" i="24"/>
  <c r="Q46"/>
  <c r="T46"/>
  <c r="W46"/>
  <c r="Z46"/>
  <c r="AC46"/>
  <c r="AF46"/>
  <c r="AI46"/>
  <c r="AL46"/>
  <c r="AM46"/>
  <c r="AO46"/>
  <c r="AP46"/>
  <c r="F47"/>
  <c r="J47"/>
  <c r="K47"/>
  <c r="N47"/>
  <c r="T47"/>
  <c r="W47"/>
  <c r="Z47"/>
  <c r="AC47"/>
  <c r="AF47"/>
  <c r="AI47"/>
  <c r="AL47"/>
  <c r="AM47"/>
  <c r="AO47"/>
  <c r="AP47"/>
  <c r="AT47"/>
  <c r="AV47"/>
  <c r="AW47"/>
  <c r="AX47"/>
  <c r="F48"/>
  <c r="J48"/>
  <c r="K48"/>
  <c r="N48"/>
  <c r="Q48"/>
  <c r="T48"/>
  <c r="W48"/>
  <c r="Z48"/>
  <c r="AC48"/>
  <c r="AF48"/>
  <c r="AI48"/>
  <c r="AL48"/>
  <c r="AM48"/>
  <c r="AO48"/>
  <c r="AP48"/>
  <c r="AT48"/>
  <c r="AV48"/>
  <c r="AW48"/>
  <c r="AX48"/>
  <c r="F49"/>
  <c r="J49"/>
  <c r="K49"/>
  <c r="N49"/>
  <c r="Q49"/>
  <c r="T49"/>
  <c r="W49"/>
  <c r="Z49"/>
  <c r="AC49"/>
  <c r="AF49"/>
  <c r="AI49"/>
  <c r="AL49"/>
  <c r="AM49"/>
  <c r="AO49"/>
  <c r="AP49"/>
  <c r="AT49"/>
  <c r="AV49"/>
  <c r="AW49"/>
  <c r="AX49"/>
  <c r="F50"/>
  <c r="J50"/>
  <c r="K50"/>
  <c r="N50"/>
  <c r="Q50"/>
  <c r="T50"/>
  <c r="W50"/>
  <c r="Z50"/>
  <c r="AC50"/>
  <c r="AF50"/>
  <c r="AI50"/>
  <c r="AL50"/>
  <c r="AM50"/>
  <c r="AO50"/>
  <c r="AP50"/>
  <c r="AT50"/>
  <c r="AV50"/>
  <c r="AW50"/>
  <c r="AX50"/>
  <c r="F51"/>
  <c r="J51"/>
  <c r="K51"/>
  <c r="N51"/>
  <c r="Q51"/>
  <c r="T51"/>
  <c r="W51"/>
  <c r="Z51"/>
  <c r="AC51"/>
  <c r="AF51"/>
  <c r="AI51"/>
  <c r="AL51"/>
  <c r="AM51"/>
  <c r="AO51"/>
  <c r="AP51"/>
  <c r="AT51"/>
  <c r="AV51"/>
  <c r="AW51"/>
  <c r="AX51"/>
  <c r="F52"/>
  <c r="J52"/>
  <c r="K52"/>
  <c r="N52"/>
  <c r="Q52"/>
  <c r="T52"/>
  <c r="W52"/>
  <c r="Z52"/>
  <c r="AC52"/>
  <c r="AF52"/>
  <c r="AI52"/>
  <c r="AL52"/>
  <c r="AM52"/>
  <c r="AO52"/>
  <c r="AP52"/>
  <c r="AT52"/>
  <c r="AV52"/>
  <c r="AW52"/>
  <c r="AX52"/>
  <c r="F53"/>
  <c r="J53"/>
  <c r="K53"/>
  <c r="N53"/>
  <c r="Q53"/>
  <c r="T53"/>
  <c r="W53"/>
  <c r="Z53"/>
  <c r="AC53"/>
  <c r="AF53"/>
  <c r="AI53"/>
  <c r="AL53"/>
  <c r="AM53"/>
  <c r="AO53"/>
  <c r="AP53"/>
  <c r="AT53"/>
  <c r="AV53"/>
  <c r="AW53"/>
  <c r="AX53"/>
  <c r="F54"/>
  <c r="J54"/>
  <c r="K54"/>
  <c r="N54"/>
  <c r="Q54"/>
  <c r="T54"/>
  <c r="W54"/>
  <c r="Z54"/>
  <c r="AC54"/>
  <c r="AF54"/>
  <c r="AI54"/>
  <c r="AL54"/>
  <c r="AM54"/>
  <c r="AO54"/>
  <c r="AP54"/>
  <c r="AT54"/>
  <c r="AV54"/>
  <c r="AW54"/>
  <c r="AX54"/>
  <c r="F55"/>
  <c r="J55"/>
  <c r="K55"/>
  <c r="N55"/>
  <c r="Q55"/>
  <c r="T55"/>
  <c r="W55"/>
  <c r="Z55"/>
  <c r="AC55"/>
  <c r="AF55"/>
  <c r="AI55"/>
  <c r="AL55"/>
  <c r="AM55"/>
  <c r="AO55"/>
  <c r="AP55"/>
  <c r="AT55"/>
  <c r="AV55"/>
  <c r="AW55"/>
  <c r="AX55"/>
  <c r="F56"/>
  <c r="J56"/>
  <c r="K56"/>
  <c r="N56"/>
  <c r="Q56"/>
  <c r="T56"/>
  <c r="W56"/>
  <c r="Z56"/>
  <c r="AC56"/>
  <c r="AF56"/>
  <c r="AI56"/>
  <c r="AL56"/>
  <c r="AM56"/>
  <c r="AO56"/>
  <c r="AP56"/>
  <c r="AT56"/>
  <c r="AV56"/>
  <c r="AW56"/>
  <c r="AX56"/>
  <c r="F57"/>
  <c r="J57"/>
  <c r="K57"/>
  <c r="N57"/>
  <c r="Q57"/>
  <c r="T57"/>
  <c r="W57"/>
  <c r="Z57"/>
  <c r="AC57"/>
  <c r="AF57"/>
  <c r="AI57"/>
  <c r="AL57"/>
  <c r="AM57"/>
  <c r="AO57"/>
  <c r="AP57"/>
  <c r="AT57"/>
  <c r="AV57"/>
  <c r="AW57"/>
  <c r="AX57"/>
  <c r="F58"/>
  <c r="J58"/>
  <c r="K58"/>
  <c r="N58"/>
  <c r="Q58"/>
  <c r="T58"/>
  <c r="W58"/>
  <c r="Z58"/>
  <c r="AC58"/>
  <c r="AF58"/>
  <c r="AI58"/>
  <c r="AL58"/>
  <c r="AM58"/>
  <c r="AO58"/>
  <c r="AP58"/>
  <c r="AT58"/>
  <c r="AV58"/>
  <c r="AW58"/>
  <c r="AX58"/>
  <c r="F59"/>
  <c r="J59"/>
  <c r="K59"/>
  <c r="N59"/>
  <c r="Q59"/>
  <c r="T59"/>
  <c r="W59"/>
  <c r="Z59"/>
  <c r="AC59"/>
  <c r="AF59"/>
  <c r="AI59"/>
  <c r="AL59"/>
  <c r="AM59"/>
  <c r="AO59"/>
  <c r="AP59"/>
  <c r="AT59"/>
  <c r="AV59"/>
  <c r="AW59"/>
  <c r="AX59"/>
  <c r="F60"/>
  <c r="J60"/>
  <c r="K60"/>
  <c r="N60"/>
  <c r="Q60"/>
  <c r="T60"/>
  <c r="W60"/>
  <c r="Z60"/>
  <c r="AC60"/>
  <c r="AF60"/>
  <c r="AI60"/>
  <c r="AL60"/>
  <c r="AM60"/>
  <c r="AO60"/>
  <c r="AP60"/>
  <c r="AT60"/>
  <c r="AV60"/>
  <c r="AW60"/>
  <c r="AX60"/>
  <c r="D61"/>
  <c r="E61"/>
  <c r="H61"/>
  <c r="L61"/>
  <c r="M61"/>
  <c r="O61"/>
  <c r="P61"/>
  <c r="R61"/>
  <c r="S61"/>
  <c r="U61"/>
  <c r="V61"/>
  <c r="X61"/>
  <c r="Y61"/>
  <c r="AA61"/>
  <c r="AB61"/>
  <c r="AD61"/>
  <c r="AE61"/>
  <c r="AG61"/>
  <c r="AH61"/>
  <c r="AI61"/>
  <c r="AJ61"/>
  <c r="AK61"/>
  <c r="AL61"/>
  <c r="AM61"/>
  <c r="AS61"/>
  <c r="AP60" i="3"/>
  <c r="E7" i="2"/>
  <c r="G38" i="24" s="1"/>
  <c r="G60"/>
  <c r="AU60" s="1"/>
  <c r="BA60" s="1"/>
  <c r="E8" i="2"/>
  <c r="AW45" i="24"/>
  <c r="AX26"/>
  <c r="AX45"/>
  <c r="J45"/>
  <c r="G45" i="3"/>
  <c r="I45" s="1"/>
  <c r="K46" i="24"/>
  <c r="AI70" i="25"/>
  <c r="AK70"/>
  <c r="AK56"/>
  <c r="AG56" i="4"/>
  <c r="AI56" s="1"/>
  <c r="D22" i="15"/>
  <c r="G11" s="1"/>
  <c r="F15" i="17" s="1"/>
  <c r="J46" i="24"/>
  <c r="I61"/>
  <c r="H46" i="3"/>
  <c r="AT46" i="24"/>
  <c r="J61"/>
  <c r="AL70" i="25"/>
  <c r="AM70"/>
  <c r="AV46" i="24"/>
  <c r="AX46"/>
  <c r="AW46"/>
  <c r="AT61"/>
  <c r="E29" i="17"/>
  <c r="AQ10" i="3"/>
  <c r="AS10" s="1"/>
  <c r="AQ27"/>
  <c r="AQ22"/>
  <c r="AT22"/>
  <c r="D20" i="12"/>
  <c r="AA11" i="13"/>
  <c r="AA12"/>
  <c r="AA13"/>
  <c r="AA14"/>
  <c r="AF14"/>
  <c r="AA15"/>
  <c r="AA16"/>
  <c r="AA17"/>
  <c r="AA18"/>
  <c r="AA19"/>
  <c r="E20" i="12"/>
  <c r="G20"/>
  <c r="I20"/>
  <c r="F11" i="6"/>
  <c r="AP11"/>
  <c r="AR11" s="1"/>
  <c r="F12"/>
  <c r="AP12" s="1"/>
  <c r="AR12" s="1"/>
  <c r="F13"/>
  <c r="AP13"/>
  <c r="AR13" s="1"/>
  <c r="F11" i="5"/>
  <c r="I11" s="1"/>
  <c r="F13"/>
  <c r="I13" s="1"/>
  <c r="F15"/>
  <c r="I15" s="1"/>
  <c r="F17"/>
  <c r="I17" s="1"/>
  <c r="H23"/>
  <c r="H25"/>
  <c r="I25"/>
  <c r="H27"/>
  <c r="I27"/>
  <c r="AA13" i="4"/>
  <c r="AA15"/>
  <c r="AH15" s="1"/>
  <c r="AK15" s="1"/>
  <c r="AA17"/>
  <c r="AA19"/>
  <c r="H20" i="12"/>
  <c r="H21"/>
  <c r="F10" i="11"/>
  <c r="F24"/>
  <c r="F12" i="17" s="1"/>
  <c r="F10" i="9"/>
  <c r="F10" i="6"/>
  <c r="AP10"/>
  <c r="AR10" s="1"/>
  <c r="F10" i="5"/>
  <c r="I10" s="1"/>
  <c r="F12"/>
  <c r="I12"/>
  <c r="F14"/>
  <c r="I14"/>
  <c r="F16"/>
  <c r="I16"/>
  <c r="H24"/>
  <c r="I24"/>
  <c r="H26"/>
  <c r="I26"/>
  <c r="AA12" i="4"/>
  <c r="AH12"/>
  <c r="AK12" s="1"/>
  <c r="AA16"/>
  <c r="AA20"/>
  <c r="AA22"/>
  <c r="AH22" s="1"/>
  <c r="AL22"/>
  <c r="AA24"/>
  <c r="AH24"/>
  <c r="AK24" s="1"/>
  <c r="AA26"/>
  <c r="AH26" s="1"/>
  <c r="AL26"/>
  <c r="AA28"/>
  <c r="AH28"/>
  <c r="AL28" s="1"/>
  <c r="AA30"/>
  <c r="AH30"/>
  <c r="AK30" s="1"/>
  <c r="AA32"/>
  <c r="AA34"/>
  <c r="AA36"/>
  <c r="AH36"/>
  <c r="AA38"/>
  <c r="AA40"/>
  <c r="AH44"/>
  <c r="AL44" s="1"/>
  <c r="AA46"/>
  <c r="AH52"/>
  <c r="AL52" s="1"/>
  <c r="AA54"/>
  <c r="AH56"/>
  <c r="AK56" s="1"/>
  <c r="AA58"/>
  <c r="AA60"/>
  <c r="AA62"/>
  <c r="AH66"/>
  <c r="AA68"/>
  <c r="AC10" i="25"/>
  <c r="AC11"/>
  <c r="AC12"/>
  <c r="AC13"/>
  <c r="AC14"/>
  <c r="AJ14"/>
  <c r="AM14" s="1"/>
  <c r="AC15"/>
  <c r="AJ15"/>
  <c r="AM15" s="1"/>
  <c r="AC16"/>
  <c r="AC17"/>
  <c r="AC18"/>
  <c r="AC19"/>
  <c r="AJ19"/>
  <c r="AM19" s="1"/>
  <c r="AC20"/>
  <c r="AC21"/>
  <c r="AC22"/>
  <c r="AC32"/>
  <c r="AC33"/>
  <c r="AC35"/>
  <c r="AJ35"/>
  <c r="AM35" s="1"/>
  <c r="AC36"/>
  <c r="AC39"/>
  <c r="AJ39"/>
  <c r="AN39" s="1"/>
  <c r="AC40"/>
  <c r="F20" i="12"/>
  <c r="F21"/>
  <c r="F14" i="6"/>
  <c r="AP14"/>
  <c r="AR14" s="1"/>
  <c r="F15"/>
  <c r="AP15" s="1"/>
  <c r="AR15" s="1"/>
  <c r="F16"/>
  <c r="AP16"/>
  <c r="AR16" s="1"/>
  <c r="F17"/>
  <c r="AP17" s="1"/>
  <c r="AR17" s="1"/>
  <c r="AA10" i="4"/>
  <c r="AH10"/>
  <c r="AK10" s="1"/>
  <c r="AA14"/>
  <c r="AH14" s="1"/>
  <c r="AL14" s="1"/>
  <c r="AA18"/>
  <c r="AA21"/>
  <c r="AA23"/>
  <c r="AH23" s="1"/>
  <c r="AA25"/>
  <c r="AH25" s="1"/>
  <c r="AA27"/>
  <c r="AH27"/>
  <c r="AK27" s="1"/>
  <c r="AA29"/>
  <c r="AH29"/>
  <c r="AL29" s="1"/>
  <c r="AA31"/>
  <c r="AH31"/>
  <c r="AL31" s="1"/>
  <c r="AA33"/>
  <c r="AA35"/>
  <c r="AH35"/>
  <c r="AK35" s="1"/>
  <c r="AA37"/>
  <c r="AH37" s="1"/>
  <c r="AA41"/>
  <c r="AH41" s="1"/>
  <c r="AL41" s="1"/>
  <c r="AA43"/>
  <c r="AH43"/>
  <c r="AK43" s="1"/>
  <c r="AA45"/>
  <c r="AH45" s="1"/>
  <c r="AL45" s="1"/>
  <c r="AA47"/>
  <c r="AH47"/>
  <c r="AL47" s="1"/>
  <c r="AA49"/>
  <c r="AA51"/>
  <c r="AA53"/>
  <c r="AH53"/>
  <c r="AL53" s="1"/>
  <c r="AA55"/>
  <c r="AA57"/>
  <c r="AH57" s="1"/>
  <c r="AK57" s="1"/>
  <c r="AA59"/>
  <c r="AA61"/>
  <c r="AH61"/>
  <c r="AL61" s="1"/>
  <c r="AA63"/>
  <c r="AH63" s="1"/>
  <c r="AA65"/>
  <c r="AH67"/>
  <c r="AK67" s="1"/>
  <c r="AA69"/>
  <c r="AH69" s="1"/>
  <c r="AL69" s="1"/>
  <c r="AC23" i="25"/>
  <c r="AC24"/>
  <c r="AJ24" s="1"/>
  <c r="AN24" s="1"/>
  <c r="AC25"/>
  <c r="AJ25"/>
  <c r="AM25" s="1"/>
  <c r="AC26"/>
  <c r="AJ26" s="1"/>
  <c r="AN26" s="1"/>
  <c r="AC27"/>
  <c r="AJ27"/>
  <c r="AN27" s="1"/>
  <c r="AC28"/>
  <c r="AJ28"/>
  <c r="AN28" s="1"/>
  <c r="AC29"/>
  <c r="AJ29" s="1"/>
  <c r="AC30"/>
  <c r="AJ30" s="1"/>
  <c r="AN30" s="1"/>
  <c r="AC31"/>
  <c r="AJ31"/>
  <c r="AN31" s="1"/>
  <c r="AC34"/>
  <c r="AJ34" s="1"/>
  <c r="AM34" s="1"/>
  <c r="AC37"/>
  <c r="AJ37"/>
  <c r="AN37" s="1"/>
  <c r="AC38"/>
  <c r="AJ38"/>
  <c r="AM38" s="1"/>
  <c r="AC60"/>
  <c r="AJ60" s="1"/>
  <c r="AM60" s="1"/>
  <c r="AC61"/>
  <c r="F10" i="3"/>
  <c r="AR10" s="1"/>
  <c r="F12"/>
  <c r="AR12"/>
  <c r="AW12" s="1"/>
  <c r="F14"/>
  <c r="AR14" s="1"/>
  <c r="F16"/>
  <c r="AR16"/>
  <c r="AW16" s="1"/>
  <c r="F18"/>
  <c r="AR18"/>
  <c r="AX18" s="1"/>
  <c r="F20"/>
  <c r="AR20" s="1"/>
  <c r="AJ56" i="4"/>
  <c r="G47" i="24"/>
  <c r="AU47"/>
  <c r="AZ47" s="1"/>
  <c r="G45"/>
  <c r="AU45" s="1"/>
  <c r="G44"/>
  <c r="AU44" s="1"/>
  <c r="AY44" s="1"/>
  <c r="G43"/>
  <c r="AU43"/>
  <c r="AY43" s="1"/>
  <c r="G42"/>
  <c r="AU42" s="1"/>
  <c r="G41"/>
  <c r="AU41"/>
  <c r="AZ41" s="1"/>
  <c r="G40"/>
  <c r="AU40" s="1"/>
  <c r="AU38"/>
  <c r="AY38" s="1"/>
  <c r="F60" i="3"/>
  <c r="AR60" s="1"/>
  <c r="AW60" s="1"/>
  <c r="F52"/>
  <c r="AR52" s="1"/>
  <c r="F50"/>
  <c r="AR50"/>
  <c r="AX50" s="1"/>
  <c r="F48"/>
  <c r="AR48" s="1"/>
  <c r="AW48" s="1"/>
  <c r="F42"/>
  <c r="AR42" s="1"/>
  <c r="F40"/>
  <c r="AR40"/>
  <c r="AV40" s="1"/>
  <c r="F38"/>
  <c r="AR38"/>
  <c r="AV38" s="1"/>
  <c r="F36"/>
  <c r="AR36" s="1"/>
  <c r="AV36" s="1"/>
  <c r="F34"/>
  <c r="AR34"/>
  <c r="AX34" s="1"/>
  <c r="F32"/>
  <c r="AR32" s="1"/>
  <c r="F30"/>
  <c r="AR30"/>
  <c r="AW30" s="1"/>
  <c r="F28"/>
  <c r="AR28"/>
  <c r="AX28" s="1"/>
  <c r="F25"/>
  <c r="AR25" s="1"/>
  <c r="F23"/>
  <c r="AR23"/>
  <c r="AX23" s="1"/>
  <c r="F21"/>
  <c r="AR21" s="1"/>
  <c r="F19"/>
  <c r="AR19"/>
  <c r="AV19" s="1"/>
  <c r="F15"/>
  <c r="AR15" s="1"/>
  <c r="F11"/>
  <c r="AR11" s="1"/>
  <c r="AC68" i="25"/>
  <c r="AJ68"/>
  <c r="AN68" s="1"/>
  <c r="AC66"/>
  <c r="AJ66"/>
  <c r="AN66" s="1"/>
  <c r="AC64"/>
  <c r="AJ64" s="1"/>
  <c r="AN64" s="1"/>
  <c r="AC62"/>
  <c r="AJ62"/>
  <c r="AN62" s="1"/>
  <c r="AC59"/>
  <c r="AJ59" s="1"/>
  <c r="AC57"/>
  <c r="AJ57"/>
  <c r="AN57" s="1"/>
  <c r="AC56"/>
  <c r="AJ56" s="1"/>
  <c r="AC55"/>
  <c r="AJ55"/>
  <c r="AM55" s="1"/>
  <c r="AC53"/>
  <c r="AJ53"/>
  <c r="AN53" s="1"/>
  <c r="AC51"/>
  <c r="AJ51" s="1"/>
  <c r="AN51" s="1"/>
  <c r="AC49"/>
  <c r="AJ49" s="1"/>
  <c r="AN49" s="1"/>
  <c r="AC47"/>
  <c r="AJ47" s="1"/>
  <c r="AM47" s="1"/>
  <c r="AC45"/>
  <c r="AJ45" s="1"/>
  <c r="AN45" s="1"/>
  <c r="AC43"/>
  <c r="AJ43"/>
  <c r="AN43" s="1"/>
  <c r="AC41"/>
  <c r="AJ41" s="1"/>
  <c r="AJ33"/>
  <c r="AN33" s="1"/>
  <c r="AN25"/>
  <c r="W70"/>
  <c r="Q70"/>
  <c r="AH65" i="4"/>
  <c r="AL65"/>
  <c r="AH49"/>
  <c r="AL49"/>
  <c r="AH33"/>
  <c r="AL33"/>
  <c r="AH21"/>
  <c r="AL21"/>
  <c r="H61" i="26"/>
  <c r="G59" i="24"/>
  <c r="AU59"/>
  <c r="BA59" s="1"/>
  <c r="G58"/>
  <c r="AU58" s="1"/>
  <c r="G57"/>
  <c r="AU57"/>
  <c r="AY57" s="1"/>
  <c r="G56"/>
  <c r="AU56" s="1"/>
  <c r="G55"/>
  <c r="AU55"/>
  <c r="BA55" s="1"/>
  <c r="G54"/>
  <c r="AU54" s="1"/>
  <c r="BA54" s="1"/>
  <c r="G53"/>
  <c r="AU53" s="1"/>
  <c r="G52"/>
  <c r="AU52"/>
  <c r="AY52" s="1"/>
  <c r="G51"/>
  <c r="AU51"/>
  <c r="BA51" s="1"/>
  <c r="G50"/>
  <c r="AU50" s="1"/>
  <c r="AY50" s="1"/>
  <c r="G49"/>
  <c r="AU49" s="1"/>
  <c r="G48"/>
  <c r="AU48" s="1"/>
  <c r="G46"/>
  <c r="AU46" s="1"/>
  <c r="AZ46" s="1"/>
  <c r="E61" i="3"/>
  <c r="F59"/>
  <c r="AR59" s="1"/>
  <c r="AX59" s="1"/>
  <c r="AR57"/>
  <c r="F55"/>
  <c r="AR55" s="1"/>
  <c r="F53"/>
  <c r="AR53"/>
  <c r="AW53" s="1"/>
  <c r="F51"/>
  <c r="AR51"/>
  <c r="F49"/>
  <c r="AR49" s="1"/>
  <c r="F47"/>
  <c r="AR47" s="1"/>
  <c r="AV47"/>
  <c r="F46"/>
  <c r="AR46" s="1"/>
  <c r="F45"/>
  <c r="AR45" s="1"/>
  <c r="AV45" s="1"/>
  <c r="F43"/>
  <c r="AR43" s="1"/>
  <c r="F41"/>
  <c r="AR41" s="1"/>
  <c r="AX41" s="1"/>
  <c r="AV41"/>
  <c r="F39"/>
  <c r="AR39"/>
  <c r="F37"/>
  <c r="AR37" s="1"/>
  <c r="AW37" s="1"/>
  <c r="F35"/>
  <c r="AR35" s="1"/>
  <c r="AW35" s="1"/>
  <c r="F33"/>
  <c r="AR33"/>
  <c r="F31"/>
  <c r="AR31" s="1"/>
  <c r="AW31" s="1"/>
  <c r="F29"/>
  <c r="AR29"/>
  <c r="F27"/>
  <c r="AR27" s="1"/>
  <c r="AV27" s="1"/>
  <c r="F26"/>
  <c r="AR26"/>
  <c r="F24"/>
  <c r="AR24" s="1"/>
  <c r="AV24" s="1"/>
  <c r="F22"/>
  <c r="AR22"/>
  <c r="F17"/>
  <c r="AR17" s="1"/>
  <c r="AW17" s="1"/>
  <c r="AQ16"/>
  <c r="F13"/>
  <c r="AR13" s="1"/>
  <c r="AW13" s="1"/>
  <c r="AQ12"/>
  <c r="AC69" i="25"/>
  <c r="AJ69" s="1"/>
  <c r="AN69" s="1"/>
  <c r="AC67"/>
  <c r="AJ67"/>
  <c r="AN67" s="1"/>
  <c r="AC65"/>
  <c r="AJ65" s="1"/>
  <c r="AN65" s="1"/>
  <c r="AC63"/>
  <c r="AJ63"/>
  <c r="AJ61"/>
  <c r="AC58"/>
  <c r="AJ58" s="1"/>
  <c r="AM58"/>
  <c r="AM56"/>
  <c r="AC54"/>
  <c r="AJ54"/>
  <c r="AC52"/>
  <c r="AJ52" s="1"/>
  <c r="AN52" s="1"/>
  <c r="AC50"/>
  <c r="AJ50"/>
  <c r="AC48"/>
  <c r="AJ48" s="1"/>
  <c r="AM48" s="1"/>
  <c r="AC46"/>
  <c r="AJ46"/>
  <c r="AM46" s="1"/>
  <c r="AC44"/>
  <c r="AJ44" s="1"/>
  <c r="AN44" s="1"/>
  <c r="AC42"/>
  <c r="AJ42"/>
  <c r="AM42" s="1"/>
  <c r="AH16" i="4"/>
  <c r="AG18"/>
  <c r="AI18" s="1"/>
  <c r="AG14"/>
  <c r="AG10"/>
  <c r="AO18" i="6"/>
  <c r="C13" i="8"/>
  <c r="E47" i="17"/>
  <c r="E45"/>
  <c r="E39"/>
  <c r="AH19" i="4"/>
  <c r="AK19" s="1"/>
  <c r="AG16"/>
  <c r="AI16"/>
  <c r="AG12"/>
  <c r="AI12"/>
  <c r="AH11"/>
  <c r="AL11"/>
  <c r="W40" i="16"/>
  <c r="W23"/>
  <c r="F51" i="17" s="1"/>
  <c r="AJ16" i="4"/>
  <c r="AV13" i="3"/>
  <c r="AM30" i="25"/>
  <c r="AN60"/>
  <c r="AW25" i="3"/>
  <c r="AW42"/>
  <c r="AV60"/>
  <c r="AF11" i="13"/>
  <c r="AJ12" i="4"/>
  <c r="AQ18" i="6"/>
  <c r="AL19" i="4"/>
  <c r="AI10"/>
  <c r="AU12" i="3"/>
  <c r="AX26"/>
  <c r="AW33"/>
  <c r="AW41"/>
  <c r="AX47"/>
  <c r="AK21" i="4"/>
  <c r="AK45"/>
  <c r="AK69"/>
  <c r="AM37" i="25"/>
  <c r="AN47"/>
  <c r="AN55"/>
  <c r="AM66"/>
  <c r="AX19" i="3"/>
  <c r="AX36"/>
  <c r="AW50"/>
  <c r="AZ38" i="24"/>
  <c r="AN38" i="25"/>
  <c r="AN35"/>
  <c r="AN19"/>
  <c r="F21" i="9"/>
  <c r="I23" i="5"/>
  <c r="I28" s="1"/>
  <c r="D21" i="12"/>
  <c r="F70" i="4"/>
  <c r="F20" i="13"/>
  <c r="F43" i="17" s="1"/>
  <c r="AL67" i="4"/>
  <c r="AG53"/>
  <c r="AI53"/>
  <c r="AJ53"/>
  <c r="AK14"/>
  <c r="AM44" i="25"/>
  <c r="AZ57" i="24"/>
  <c r="BA41"/>
  <c r="BA45"/>
  <c r="AV20" i="3"/>
  <c r="AV16"/>
  <c r="AV12"/>
  <c r="BA53" i="24"/>
  <c r="AN46" i="25"/>
  <c r="BA52" i="24"/>
  <c r="AZ52"/>
  <c r="AY56"/>
  <c r="BA40"/>
  <c r="AZ44"/>
  <c r="BA47"/>
  <c r="AX17" i="3"/>
  <c r="AZ49" i="24"/>
  <c r="AM67" i="25"/>
  <c r="AZ48" i="24"/>
  <c r="AN34" i="25"/>
  <c r="AK52" i="4"/>
  <c r="AK44"/>
  <c r="AL36"/>
  <c r="AK36"/>
  <c r="AK28"/>
  <c r="AM31" i="25"/>
  <c r="AM39"/>
  <c r="H28" i="5"/>
  <c r="AA20" i="13"/>
  <c r="F55" i="17"/>
  <c r="AX13" i="3"/>
  <c r="AX24"/>
  <c r="AX53"/>
  <c r="AX37"/>
  <c r="BA46" i="24"/>
  <c r="AZ50"/>
  <c r="AZ54"/>
  <c r="AY59"/>
  <c r="AV21" i="3"/>
  <c r="AW38"/>
  <c r="AW56"/>
  <c r="BA43" i="24"/>
  <c r="J20" i="12"/>
  <c r="L20" s="1"/>
  <c r="K20"/>
  <c r="AW36" i="3"/>
  <c r="AM27" i="25"/>
  <c r="AK49" i="4"/>
  <c r="AK33"/>
  <c r="AL12"/>
  <c r="AK11"/>
  <c r="AN56" i="25"/>
  <c r="AK26" i="4"/>
  <c r="F61" i="3"/>
  <c r="AM45" i="25"/>
  <c r="AM24"/>
  <c r="AV31" i="3"/>
  <c r="AP18" i="6"/>
  <c r="AJ57" i="4"/>
  <c r="AQ56" i="3"/>
  <c r="AQ54"/>
  <c r="AQ50"/>
  <c r="AQ44"/>
  <c r="AU44"/>
  <c r="AQ40"/>
  <c r="AT40"/>
  <c r="AQ36"/>
  <c r="AU36"/>
  <c r="AQ34"/>
  <c r="AQ28"/>
  <c r="AQ23"/>
  <c r="AT23" s="1"/>
  <c r="AQ13"/>
  <c r="AG69" i="4"/>
  <c r="AI69" s="1"/>
  <c r="Q70"/>
  <c r="AG64"/>
  <c r="AJ64" s="1"/>
  <c r="AH64"/>
  <c r="AL64"/>
  <c r="AG62"/>
  <c r="AJ62"/>
  <c r="AG61"/>
  <c r="AI61"/>
  <c r="AG58"/>
  <c r="AI58"/>
  <c r="G70"/>
  <c r="H20" i="13"/>
  <c r="E41" i="17" s="1"/>
  <c r="AG40" i="4"/>
  <c r="AJ40"/>
  <c r="AG38"/>
  <c r="AG36"/>
  <c r="AG34"/>
  <c r="AJ34" s="1"/>
  <c r="AG32"/>
  <c r="AJ32" s="1"/>
  <c r="AG30"/>
  <c r="AJ30" s="1"/>
  <c r="AG28"/>
  <c r="AJ28"/>
  <c r="AG26"/>
  <c r="AJ26"/>
  <c r="AG24"/>
  <c r="AJ24"/>
  <c r="AG22"/>
  <c r="AG21"/>
  <c r="AG15"/>
  <c r="AJ15" s="1"/>
  <c r="AJ18" i="6"/>
  <c r="I18"/>
  <c r="J16" i="12"/>
  <c r="L16" s="1"/>
  <c r="K16"/>
  <c r="J14"/>
  <c r="L14"/>
  <c r="K14" s="1"/>
  <c r="L20" i="13"/>
  <c r="F49" i="17" s="1"/>
  <c r="J39" i="16"/>
  <c r="P39" s="1"/>
  <c r="J37"/>
  <c r="P37" s="1"/>
  <c r="J35"/>
  <c r="P35" s="1"/>
  <c r="J33"/>
  <c r="P33" s="1"/>
  <c r="AQ40"/>
  <c r="AI40"/>
  <c r="AA40"/>
  <c r="F39" i="17" s="1"/>
  <c r="K11" i="16"/>
  <c r="AY60" i="24"/>
  <c r="AG68" i="4"/>
  <c r="AI68" s="1"/>
  <c r="AH68"/>
  <c r="AL68"/>
  <c r="AG66"/>
  <c r="AJ66"/>
  <c r="AG65"/>
  <c r="AI65"/>
  <c r="AH62"/>
  <c r="AG60"/>
  <c r="AI60" s="1"/>
  <c r="AH60"/>
  <c r="AK60" s="1"/>
  <c r="AG55"/>
  <c r="N70"/>
  <c r="E42" i="8" s="1"/>
  <c r="AG54" i="4"/>
  <c r="AG52"/>
  <c r="AI52" s="1"/>
  <c r="AG51"/>
  <c r="AJ51"/>
  <c r="AG50"/>
  <c r="AJ50"/>
  <c r="AG49"/>
  <c r="AI49"/>
  <c r="AG48"/>
  <c r="AG47"/>
  <c r="AI47" s="1"/>
  <c r="AG46"/>
  <c r="AG45"/>
  <c r="AG44"/>
  <c r="AI44" s="1"/>
  <c r="AG43"/>
  <c r="AI43"/>
  <c r="AG42"/>
  <c r="AJ42"/>
  <c r="AG41"/>
  <c r="AI41"/>
  <c r="AG39"/>
  <c r="AG37"/>
  <c r="AI37" s="1"/>
  <c r="AG35"/>
  <c r="AG33"/>
  <c r="AG31"/>
  <c r="AI31" s="1"/>
  <c r="AG29"/>
  <c r="AI29"/>
  <c r="AG27"/>
  <c r="AJ27"/>
  <c r="AG25"/>
  <c r="AI25"/>
  <c r="AG23"/>
  <c r="AG19"/>
  <c r="AI19" s="1"/>
  <c r="AG13"/>
  <c r="AG11"/>
  <c r="U18" i="6"/>
  <c r="X18"/>
  <c r="L18"/>
  <c r="AG18"/>
  <c r="R18"/>
  <c r="J18" i="12"/>
  <c r="L18"/>
  <c r="K18" s="1"/>
  <c r="J38" i="16"/>
  <c r="P38" s="1"/>
  <c r="J36"/>
  <c r="P36" s="1"/>
  <c r="J34"/>
  <c r="P34" s="1"/>
  <c r="AU40"/>
  <c r="F48" i="17" s="1"/>
  <c r="AM40" i="16"/>
  <c r="F46" i="17" s="1"/>
  <c r="AE40" i="16"/>
  <c r="J32"/>
  <c r="K31"/>
  <c r="J22"/>
  <c r="P22"/>
  <c r="J20"/>
  <c r="P20"/>
  <c r="J18"/>
  <c r="P18"/>
  <c r="J12"/>
  <c r="P12"/>
  <c r="AE23"/>
  <c r="F52" i="17"/>
  <c r="J11" i="16"/>
  <c r="P11"/>
  <c r="P23" s="1"/>
  <c r="R26" s="1"/>
  <c r="C42" i="8" s="1"/>
  <c r="D15"/>
  <c r="AT54" i="3"/>
  <c r="AT50"/>
  <c r="AS44"/>
  <c r="AU40"/>
  <c r="AT36"/>
  <c r="AS36"/>
  <c r="AT34"/>
  <c r="AU34"/>
  <c r="AS34"/>
  <c r="AU23"/>
  <c r="AT13"/>
  <c r="AJ69" i="4"/>
  <c r="AJ61"/>
  <c r="Q11" i="16"/>
  <c r="AJ65" i="4"/>
  <c r="L70"/>
  <c r="F40" i="8"/>
  <c r="AH58" i="4"/>
  <c r="AK58"/>
  <c r="I70"/>
  <c r="I20" i="13"/>
  <c r="AL15" i="4"/>
  <c r="AT27" i="3"/>
  <c r="X20" i="13"/>
  <c r="F42" i="17"/>
  <c r="U20" i="13"/>
  <c r="F44" i="17"/>
  <c r="J31" i="16"/>
  <c r="P31"/>
  <c r="E24" i="11"/>
  <c r="E12" i="17"/>
  <c r="F23" i="11"/>
  <c r="D62" i="7"/>
  <c r="C45" i="8" s="1"/>
  <c r="D10" i="14" s="1"/>
  <c r="AI23" i="4"/>
  <c r="AJ23"/>
  <c r="AI27"/>
  <c r="AJ31"/>
  <c r="AI39"/>
  <c r="AJ39"/>
  <c r="AI42"/>
  <c r="AJ44"/>
  <c r="AI48"/>
  <c r="AJ48"/>
  <c r="AI50"/>
  <c r="AJ52"/>
  <c r="AK68"/>
  <c r="AI24"/>
  <c r="AI32"/>
  <c r="AI40"/>
  <c r="AK64"/>
  <c r="AJ19"/>
  <c r="AJ25"/>
  <c r="AJ29"/>
  <c r="AJ37"/>
  <c r="AJ41"/>
  <c r="AJ43"/>
  <c r="AJ47"/>
  <c r="AJ49"/>
  <c r="AI51"/>
  <c r="AL60"/>
  <c r="AK62"/>
  <c r="AL62"/>
  <c r="AI66"/>
  <c r="AJ68"/>
  <c r="AI15"/>
  <c r="AI22"/>
  <c r="AJ22"/>
  <c r="AI26"/>
  <c r="AI30"/>
  <c r="AI34"/>
  <c r="AI38"/>
  <c r="AJ38"/>
  <c r="G20" i="13"/>
  <c r="C41" i="17"/>
  <c r="AI62" i="4"/>
  <c r="AI64"/>
  <c r="AL58"/>
  <c r="C42" i="17"/>
  <c r="AX27" i="3"/>
  <c r="AV37"/>
  <c r="AV43"/>
  <c r="AW51"/>
  <c r="AY54" i="24"/>
  <c r="AM43" i="25"/>
  <c r="AM51"/>
  <c r="AM68"/>
  <c r="AW23" i="3"/>
  <c r="AX30"/>
  <c r="AX40"/>
  <c r="AV48"/>
  <c r="AX58"/>
  <c r="AY42" i="24"/>
  <c r="AX16" i="3"/>
  <c r="AK47" i="4"/>
  <c r="AL35"/>
  <c r="AK31"/>
  <c r="AL27"/>
  <c r="AL23"/>
  <c r="AK23"/>
  <c r="AL10"/>
  <c r="AL24"/>
  <c r="AN58" i="25"/>
  <c r="AV17" i="3"/>
  <c r="AV29"/>
  <c r="AV35"/>
  <c r="AW45"/>
  <c r="AX49"/>
  <c r="AV53"/>
  <c r="BA50" i="24"/>
  <c r="AM49" i="25"/>
  <c r="AM64"/>
  <c r="AX15" i="3"/>
  <c r="AW28"/>
  <c r="AW34"/>
  <c r="AV52"/>
  <c r="AW18"/>
  <c r="AK53" i="4"/>
  <c r="AN14" i="25"/>
  <c r="AQ58" i="3"/>
  <c r="AS58" s="1"/>
  <c r="AQ55"/>
  <c r="AI61"/>
  <c r="E28" i="8"/>
  <c r="AP61" i="3"/>
  <c r="E41" i="8"/>
  <c r="T61" i="3"/>
  <c r="E37" i="8"/>
  <c r="P61" i="3"/>
  <c r="E31" i="8"/>
  <c r="AT48" i="3"/>
  <c r="AT16"/>
  <c r="AF61" i="24"/>
  <c r="Z61"/>
  <c r="W61"/>
  <c r="K61"/>
  <c r="AQ60" i="3"/>
  <c r="AT58"/>
  <c r="AT60"/>
  <c r="AT55"/>
  <c r="AL66" i="4"/>
  <c r="AK66"/>
  <c r="E67" i="26"/>
  <c r="E66"/>
  <c r="AU58" i="3"/>
  <c r="AK29" i="4"/>
  <c r="AX46" i="3"/>
  <c r="AW46"/>
  <c r="AV46"/>
  <c r="AU45"/>
  <c r="AW43"/>
  <c r="AX43"/>
  <c r="AL57" i="4"/>
  <c r="F53" i="17"/>
  <c r="F27" i="11"/>
  <c r="E62" i="7"/>
  <c r="K17" i="16"/>
  <c r="Q17" s="1"/>
  <c r="V23"/>
  <c r="E51" i="17" s="1"/>
  <c r="AU22" i="3"/>
  <c r="AS22"/>
  <c r="AS27"/>
  <c r="AU27"/>
  <c r="AT10"/>
  <c r="AU10"/>
  <c r="AU17"/>
  <c r="AT17"/>
  <c r="AS17"/>
  <c r="G70" i="25"/>
  <c r="AJ20"/>
  <c r="AN20" s="1"/>
  <c r="E21" i="9"/>
  <c r="E46" i="17"/>
  <c r="AQ59" i="3"/>
  <c r="AQ52"/>
  <c r="AQ51"/>
  <c r="AQ46"/>
  <c r="AS46" s="1"/>
  <c r="AQ43"/>
  <c r="AH59" i="4"/>
  <c r="AK59" s="1"/>
  <c r="J19" i="12"/>
  <c r="L19"/>
  <c r="K19" s="1"/>
  <c r="I21"/>
  <c r="G21"/>
  <c r="E21"/>
  <c r="AF19" i="13"/>
  <c r="AF18"/>
  <c r="AF17"/>
  <c r="AF16"/>
  <c r="AF15"/>
  <c r="AF12"/>
  <c r="AD23" i="16"/>
  <c r="E52" i="17"/>
  <c r="Z23" i="16"/>
  <c r="AU48" i="3"/>
  <c r="AV28"/>
  <c r="AX45"/>
  <c r="AV14"/>
  <c r="E27" i="11"/>
  <c r="AX48" i="3"/>
  <c r="AJ58" i="4"/>
  <c r="AI28"/>
  <c r="AJ60"/>
  <c r="J23" i="16"/>
  <c r="AZ60" i="24"/>
  <c r="AS23" i="3"/>
  <c r="AS40"/>
  <c r="AT44"/>
  <c r="AS56"/>
  <c r="J13" i="12"/>
  <c r="AI59" i="4"/>
  <c r="M70"/>
  <c r="F18" i="6"/>
  <c r="AN42" i="25"/>
  <c r="AK41" i="4"/>
  <c r="AK65"/>
  <c r="AW19" i="3"/>
  <c r="AY55" i="24"/>
  <c r="AX31" i="3"/>
  <c r="AK22" i="4"/>
  <c r="AM65" i="25"/>
  <c r="AL56" i="4"/>
  <c r="F25" i="9"/>
  <c r="BA44" i="24"/>
  <c r="F24" i="9"/>
  <c r="F34" i="8"/>
  <c r="AV32" i="3"/>
  <c r="AW47"/>
  <c r="AJ18" i="4"/>
  <c r="AA70"/>
  <c r="AX60" i="3"/>
  <c r="AM26" i="25"/>
  <c r="AQ39" i="3"/>
  <c r="AQ32"/>
  <c r="AQ31"/>
  <c r="AT31" s="1"/>
  <c r="AE61"/>
  <c r="AA61"/>
  <c r="F41" i="8" s="1"/>
  <c r="W61" i="3"/>
  <c r="E38" i="8" s="1"/>
  <c r="U61" i="3"/>
  <c r="Q61"/>
  <c r="E32" i="8"/>
  <c r="O61" i="3"/>
  <c r="K61"/>
  <c r="E30" i="8" s="1"/>
  <c r="I61" i="3"/>
  <c r="G61"/>
  <c r="AQ25"/>
  <c r="AQ24"/>
  <c r="AQ15"/>
  <c r="AS15" s="1"/>
  <c r="AQ14"/>
  <c r="AQ11"/>
  <c r="AJ61"/>
  <c r="F28" i="8"/>
  <c r="AF61" i="3"/>
  <c r="E43" i="8"/>
  <c r="AD61" i="3"/>
  <c r="F36" i="8"/>
  <c r="AB61" i="3"/>
  <c r="C36" i="8"/>
  <c r="X61" i="3"/>
  <c r="L61"/>
  <c r="H61"/>
  <c r="E29" i="8"/>
  <c r="AJ23" i="25"/>
  <c r="AJ21"/>
  <c r="AM21" s="1"/>
  <c r="AJ17"/>
  <c r="AJ16"/>
  <c r="AM16" s="1"/>
  <c r="AJ13"/>
  <c r="AJ12"/>
  <c r="AM12" s="1"/>
  <c r="Z70"/>
  <c r="AG67" i="4"/>
  <c r="AJ67" s="1"/>
  <c r="AH51"/>
  <c r="AH50"/>
  <c r="AK50" s="1"/>
  <c r="AH46"/>
  <c r="AH42"/>
  <c r="AK42" s="1"/>
  <c r="AH40"/>
  <c r="AH38"/>
  <c r="AK38" s="1"/>
  <c r="H70"/>
  <c r="D70"/>
  <c r="AH20"/>
  <c r="AG20"/>
  <c r="AI20" s="1"/>
  <c r="AH18"/>
  <c r="AH17"/>
  <c r="AL17" s="1"/>
  <c r="AH13"/>
  <c r="O70"/>
  <c r="E53" i="17"/>
  <c r="K21" i="16"/>
  <c r="Q21" s="1"/>
  <c r="AS37" i="3"/>
  <c r="AC61" i="24"/>
  <c r="Q61"/>
  <c r="AQ57" i="3"/>
  <c r="AQ53"/>
  <c r="AQ42"/>
  <c r="AS42" s="1"/>
  <c r="AQ41"/>
  <c r="AQ38"/>
  <c r="AQ35"/>
  <c r="AQ33"/>
  <c r="AT33" s="1"/>
  <c r="AQ30"/>
  <c r="AQ29"/>
  <c r="AQ20"/>
  <c r="AQ18"/>
  <c r="AU18" s="1"/>
  <c r="AG63" i="4"/>
  <c r="AG17"/>
  <c r="AJ17" s="1"/>
  <c r="Z70"/>
  <c r="E27" i="8"/>
  <c r="AF70" i="4"/>
  <c r="Y70"/>
  <c r="D68" i="24" s="1"/>
  <c r="D68" i="3"/>
  <c r="W70" i="4"/>
  <c r="E33" i="8"/>
  <c r="U70" i="4"/>
  <c r="F35" i="8"/>
  <c r="S70" i="4"/>
  <c r="C35" i="8"/>
  <c r="E70" i="4"/>
  <c r="E34" i="8"/>
  <c r="AE14" i="13"/>
  <c r="AF13"/>
  <c r="N20"/>
  <c r="K19" i="16"/>
  <c r="Q19" s="1"/>
  <c r="K12"/>
  <c r="Q12" s="1"/>
  <c r="E18" i="17"/>
  <c r="AI63" i="4"/>
  <c r="AJ63"/>
  <c r="AS20" i="3"/>
  <c r="AT20"/>
  <c r="AU20"/>
  <c r="AU30"/>
  <c r="AS30"/>
  <c r="AT30"/>
  <c r="AS35"/>
  <c r="AU35"/>
  <c r="AT35"/>
  <c r="AU41"/>
  <c r="AS41"/>
  <c r="AT41"/>
  <c r="AS53"/>
  <c r="AT53"/>
  <c r="AU53"/>
  <c r="AK17" i="4"/>
  <c r="C34" i="8"/>
  <c r="AL38" i="4"/>
  <c r="AL42"/>
  <c r="AL50"/>
  <c r="AI67"/>
  <c r="AN12" i="25"/>
  <c r="AN16"/>
  <c r="AN21"/>
  <c r="AU14" i="3"/>
  <c r="AT14"/>
  <c r="AS14"/>
  <c r="AU24"/>
  <c r="AS24"/>
  <c r="AT24"/>
  <c r="AU32"/>
  <c r="AT32"/>
  <c r="AS32"/>
  <c r="AW59"/>
  <c r="AV59"/>
  <c r="AU43"/>
  <c r="AS43"/>
  <c r="AT43"/>
  <c r="AU51"/>
  <c r="AT51"/>
  <c r="AS51"/>
  <c r="AS59"/>
  <c r="AT59"/>
  <c r="AU59"/>
  <c r="E24" i="9"/>
  <c r="E10" i="17"/>
  <c r="E25" i="9"/>
  <c r="E26"/>
  <c r="Q23" i="16"/>
  <c r="AI17" i="4"/>
  <c r="AT18" i="3"/>
  <c r="AS18"/>
  <c r="AT29"/>
  <c r="AU33"/>
  <c r="AS33"/>
  <c r="AS38"/>
  <c r="AU42"/>
  <c r="AT42"/>
  <c r="AS57"/>
  <c r="AK13" i="4"/>
  <c r="AL13"/>
  <c r="AK18"/>
  <c r="AL18"/>
  <c r="AL20"/>
  <c r="AK20"/>
  <c r="AL40"/>
  <c r="AK40"/>
  <c r="AK46"/>
  <c r="AL46"/>
  <c r="AK51"/>
  <c r="AL51"/>
  <c r="AM13" i="25"/>
  <c r="AN13"/>
  <c r="AN17"/>
  <c r="AM17"/>
  <c r="AN23"/>
  <c r="AM23"/>
  <c r="AS11" i="3"/>
  <c r="AT15"/>
  <c r="AU15"/>
  <c r="AS25"/>
  <c r="AS31"/>
  <c r="AU31"/>
  <c r="AT39"/>
  <c r="J21" i="12"/>
  <c r="L13"/>
  <c r="K13"/>
  <c r="K21" s="1"/>
  <c r="J26" i="16"/>
  <c r="F29" i="17"/>
  <c r="F24"/>
  <c r="F18" s="1"/>
  <c r="AL59" i="4"/>
  <c r="AT46" i="3"/>
  <c r="AU46"/>
  <c r="AS52"/>
  <c r="AM20" i="25"/>
  <c r="E66" i="7"/>
  <c r="F45" i="8"/>
  <c r="F42"/>
  <c r="C43"/>
  <c r="AF20" i="13"/>
  <c r="F13" i="17" s="1"/>
  <c r="C27" i="8"/>
  <c r="C10" i="10" s="1"/>
  <c r="C44" i="8"/>
  <c r="F43"/>
  <c r="F44"/>
  <c r="E10" i="10" l="1"/>
  <c r="F10"/>
  <c r="D15" i="14"/>
  <c r="C54" i="17" s="1"/>
  <c r="E10" i="14"/>
  <c r="E15" s="1"/>
  <c r="E20" i="13"/>
  <c r="E43" i="17" s="1"/>
  <c r="D20" i="13"/>
  <c r="C43" i="17" s="1"/>
  <c r="AT11" i="3"/>
  <c r="AU11"/>
  <c r="AU25"/>
  <c r="AT25"/>
  <c r="G68" i="24"/>
  <c r="F68" i="3"/>
  <c r="AU52"/>
  <c r="AT52"/>
  <c r="AU60"/>
  <c r="AS60"/>
  <c r="AS55"/>
  <c r="AU55"/>
  <c r="P32" i="16"/>
  <c r="J40"/>
  <c r="AJ11" i="4"/>
  <c r="AI11"/>
  <c r="AJ35"/>
  <c r="AI35"/>
  <c r="AI45"/>
  <c r="AJ45"/>
  <c r="F47" i="17"/>
  <c r="AJ36" i="4"/>
  <c r="AI36"/>
  <c r="AU54" i="3"/>
  <c r="AS54"/>
  <c r="D13" i="8"/>
  <c r="AR18" i="6"/>
  <c r="AI14" i="4"/>
  <c r="AJ14"/>
  <c r="AK16"/>
  <c r="AL16"/>
  <c r="AM61" i="25"/>
  <c r="AN61"/>
  <c r="AV39" i="3"/>
  <c r="AX39"/>
  <c r="AW39"/>
  <c r="AV49"/>
  <c r="AW49"/>
  <c r="AX55"/>
  <c r="AW55"/>
  <c r="BA49" i="24"/>
  <c r="AY49"/>
  <c r="AZ53"/>
  <c r="AY53"/>
  <c r="AZ56"/>
  <c r="BA56"/>
  <c r="AV15" i="3"/>
  <c r="AW15"/>
  <c r="AX25"/>
  <c r="AV25"/>
  <c r="AZ40" i="24"/>
  <c r="AY40"/>
  <c r="AW14" i="3"/>
  <c r="AX14"/>
  <c r="AN29" i="25"/>
  <c r="AM29"/>
  <c r="AV58" i="3"/>
  <c r="AW58"/>
  <c r="AX56"/>
  <c r="AV56"/>
  <c r="AV54"/>
  <c r="AX54"/>
  <c r="AW54"/>
  <c r="AX44"/>
  <c r="AW44"/>
  <c r="AV44"/>
  <c r="AU37"/>
  <c r="AT37"/>
  <c r="P40" i="16"/>
  <c r="AS29" i="3"/>
  <c r="AU29"/>
  <c r="AU38"/>
  <c r="AT38"/>
  <c r="AT57"/>
  <c r="AU57"/>
  <c r="AU39"/>
  <c r="AS39"/>
  <c r="D14" i="8"/>
  <c r="E67" i="7"/>
  <c r="Q31" i="16"/>
  <c r="Q40" s="1"/>
  <c r="K40"/>
  <c r="F40" i="17"/>
  <c r="AI13" i="4"/>
  <c r="AJ13"/>
  <c r="AI33"/>
  <c r="AJ33"/>
  <c r="AJ46"/>
  <c r="AI46"/>
  <c r="AI54"/>
  <c r="AJ54"/>
  <c r="AI55"/>
  <c r="AJ55"/>
  <c r="AJ21"/>
  <c r="AI21"/>
  <c r="AS13" i="3"/>
  <c r="AU13"/>
  <c r="AU28"/>
  <c r="AS28"/>
  <c r="AT28"/>
  <c r="AU50"/>
  <c r="AS50"/>
  <c r="AT56"/>
  <c r="AU56"/>
  <c r="F10" i="17"/>
  <c r="F26" i="9"/>
  <c r="AJ10" i="4"/>
  <c r="AG70"/>
  <c r="AM50" i="25"/>
  <c r="AN50"/>
  <c r="AM54"/>
  <c r="AN54"/>
  <c r="AN63"/>
  <c r="AM63"/>
  <c r="AS12" i="3"/>
  <c r="AT12"/>
  <c r="AS16"/>
  <c r="AU16"/>
  <c r="AW22"/>
  <c r="AV22"/>
  <c r="AX22"/>
  <c r="AV26"/>
  <c r="AW26"/>
  <c r="AX29"/>
  <c r="AW29"/>
  <c r="AV33"/>
  <c r="AX33"/>
  <c r="AV51"/>
  <c r="AX51"/>
  <c r="AV57"/>
  <c r="AW57"/>
  <c r="AX57"/>
  <c r="BA48" i="24"/>
  <c r="AY48"/>
  <c r="AZ58"/>
  <c r="AY58"/>
  <c r="BA58"/>
  <c r="AN41" i="25"/>
  <c r="AM41"/>
  <c r="AN59"/>
  <c r="AM59"/>
  <c r="AX11" i="3"/>
  <c r="AV11"/>
  <c r="AW11"/>
  <c r="AX21"/>
  <c r="AW21"/>
  <c r="AX32"/>
  <c r="AW32"/>
  <c r="AX42"/>
  <c r="AV42"/>
  <c r="AX52"/>
  <c r="AW52"/>
  <c r="AZ42" i="24"/>
  <c r="BA42"/>
  <c r="AZ45"/>
  <c r="AY45"/>
  <c r="AW20" i="3"/>
  <c r="AX20"/>
  <c r="AW10"/>
  <c r="AX10"/>
  <c r="AV10"/>
  <c r="AR61"/>
  <c r="AK63" i="4"/>
  <c r="AL63"/>
  <c r="AL37"/>
  <c r="AK37"/>
  <c r="AL25"/>
  <c r="AK25"/>
  <c r="AS45" i="3"/>
  <c r="AT45"/>
  <c r="AK55" i="4"/>
  <c r="AL55"/>
  <c r="AJ20"/>
  <c r="K23" i="16"/>
  <c r="E16" i="17" s="1"/>
  <c r="F41"/>
  <c r="AN48" i="25"/>
  <c r="AM52"/>
  <c r="AM69"/>
  <c r="AW24" i="3"/>
  <c r="AW27"/>
  <c r="AX35"/>
  <c r="AV55"/>
  <c r="AY46" i="24"/>
  <c r="AC70" i="25"/>
  <c r="AM57"/>
  <c r="AZ51" i="24"/>
  <c r="AV18" i="3"/>
  <c r="AV34"/>
  <c r="AY41" i="24"/>
  <c r="AL43" i="4"/>
  <c r="AW40" i="3"/>
  <c r="AV30"/>
  <c r="AV23"/>
  <c r="AM28" i="25"/>
  <c r="AM53"/>
  <c r="AM33"/>
  <c r="F18" i="5"/>
  <c r="AZ43" i="24"/>
  <c r="AZ59"/>
  <c r="AZ55"/>
  <c r="AY51"/>
  <c r="AL30" i="4"/>
  <c r="AY47" i="24"/>
  <c r="AX12" i="3"/>
  <c r="BA57" i="24"/>
  <c r="AN15" i="25"/>
  <c r="BA38" i="24"/>
  <c r="AV50" i="3"/>
  <c r="AM62" i="25"/>
  <c r="AK61" i="4"/>
  <c r="AX38" i="3"/>
  <c r="AQ49"/>
  <c r="AQ47"/>
  <c r="AQ19"/>
  <c r="AC61"/>
  <c r="E36" i="8" s="1"/>
  <c r="Y61" i="3"/>
  <c r="AH54" i="4"/>
  <c r="T61" i="24"/>
  <c r="AQ26" i="3"/>
  <c r="AQ21"/>
  <c r="AH61"/>
  <c r="C28" i="8" s="1"/>
  <c r="C13" i="10" s="1"/>
  <c r="V61" i="3"/>
  <c r="AJ40" i="25"/>
  <c r="AJ36"/>
  <c r="AJ32"/>
  <c r="AJ22"/>
  <c r="AJ18"/>
  <c r="AJ11"/>
  <c r="AJ10"/>
  <c r="AH48" i="4"/>
  <c r="K70"/>
  <c r="E40" i="8" s="1"/>
  <c r="AH39" i="4"/>
  <c r="AH34"/>
  <c r="AH32"/>
  <c r="P70"/>
  <c r="J70"/>
  <c r="C40" i="8" s="1"/>
  <c r="AE70" i="4"/>
  <c r="X70"/>
  <c r="F33" i="8" s="1"/>
  <c r="V70" i="4"/>
  <c r="C33" i="8" s="1"/>
  <c r="T70" i="4"/>
  <c r="E35" i="8" s="1"/>
  <c r="E46" s="1"/>
  <c r="V40" i="16"/>
  <c r="G11" i="24"/>
  <c r="AU11" s="1"/>
  <c r="G13"/>
  <c r="AU13" s="1"/>
  <c r="G15"/>
  <c r="AU15" s="1"/>
  <c r="G17"/>
  <c r="AU17" s="1"/>
  <c r="G19"/>
  <c r="AU19" s="1"/>
  <c r="G21"/>
  <c r="AU21" s="1"/>
  <c r="G23"/>
  <c r="AU23" s="1"/>
  <c r="G25"/>
  <c r="AU25" s="1"/>
  <c r="G27"/>
  <c r="AU27" s="1"/>
  <c r="G29"/>
  <c r="AU29" s="1"/>
  <c r="G31"/>
  <c r="AU31" s="1"/>
  <c r="G33"/>
  <c r="AU33" s="1"/>
  <c r="G35"/>
  <c r="AU35" s="1"/>
  <c r="G37"/>
  <c r="AU37" s="1"/>
  <c r="G39"/>
  <c r="AU39" s="1"/>
  <c r="G10"/>
  <c r="G12"/>
  <c r="AU12" s="1"/>
  <c r="G14"/>
  <c r="AU14" s="1"/>
  <c r="G16"/>
  <c r="AU16" s="1"/>
  <c r="G18"/>
  <c r="AU18" s="1"/>
  <c r="G20"/>
  <c r="AU20" s="1"/>
  <c r="G22"/>
  <c r="AU22" s="1"/>
  <c r="G24"/>
  <c r="AU24" s="1"/>
  <c r="G26"/>
  <c r="AU26" s="1"/>
  <c r="G28"/>
  <c r="AU28" s="1"/>
  <c r="G30"/>
  <c r="AU30" s="1"/>
  <c r="G32"/>
  <c r="AU32" s="1"/>
  <c r="G34"/>
  <c r="AU34" s="1"/>
  <c r="G36"/>
  <c r="AU36" s="1"/>
  <c r="AY34" l="1"/>
  <c r="AZ34"/>
  <c r="BA34"/>
  <c r="AZ36"/>
  <c r="AY36"/>
  <c r="BA36"/>
  <c r="AY32"/>
  <c r="AZ32"/>
  <c r="BA32"/>
  <c r="AY28"/>
  <c r="AZ28"/>
  <c r="BA28"/>
  <c r="AZ24"/>
  <c r="BA24"/>
  <c r="AY24"/>
  <c r="BA20"/>
  <c r="AZ20"/>
  <c r="AY20"/>
  <c r="BA16"/>
  <c r="AY16"/>
  <c r="AZ16"/>
  <c r="BA12"/>
  <c r="AZ12"/>
  <c r="AY12"/>
  <c r="AZ39"/>
  <c r="BA39"/>
  <c r="AY39"/>
  <c r="AZ35"/>
  <c r="BA35"/>
  <c r="AY35"/>
  <c r="BA31"/>
  <c r="AY31"/>
  <c r="AZ31"/>
  <c r="BA27"/>
  <c r="AZ27"/>
  <c r="AY27"/>
  <c r="AY23"/>
  <c r="AZ23"/>
  <c r="BA23"/>
  <c r="AZ19"/>
  <c r="AY19"/>
  <c r="BA19"/>
  <c r="BA15"/>
  <c r="AZ15"/>
  <c r="AY15"/>
  <c r="AZ11"/>
  <c r="BA11"/>
  <c r="AY11"/>
  <c r="AL32" i="4"/>
  <c r="AK32"/>
  <c r="AH70"/>
  <c r="AL39"/>
  <c r="AK39"/>
  <c r="AL48"/>
  <c r="AK48"/>
  <c r="AM11" i="25"/>
  <c r="AN11"/>
  <c r="AM22"/>
  <c r="AN22"/>
  <c r="AM36"/>
  <c r="AN36"/>
  <c r="AS21" i="3"/>
  <c r="AT21"/>
  <c r="AU21"/>
  <c r="AT19"/>
  <c r="AS19"/>
  <c r="AU19"/>
  <c r="AQ61"/>
  <c r="C10" i="8" s="1"/>
  <c r="AU49" i="3"/>
  <c r="AT49"/>
  <c r="AS49"/>
  <c r="D16" i="8"/>
  <c r="R43" i="16"/>
  <c r="C37" i="8" s="1"/>
  <c r="E23" i="17"/>
  <c r="E26" s="1"/>
  <c r="E36" s="1"/>
  <c r="C41" i="8"/>
  <c r="BA30" i="24"/>
  <c r="AZ30"/>
  <c r="AY30"/>
  <c r="BA26"/>
  <c r="AZ26"/>
  <c r="AY26"/>
  <c r="AY22"/>
  <c r="AZ22"/>
  <c r="BA22"/>
  <c r="AY18"/>
  <c r="AZ18"/>
  <c r="BA18"/>
  <c r="AY14"/>
  <c r="AZ14"/>
  <c r="BA14"/>
  <c r="AU10"/>
  <c r="G61"/>
  <c r="AY37"/>
  <c r="BA37"/>
  <c r="AZ37"/>
  <c r="AY33"/>
  <c r="BA33"/>
  <c r="AZ33"/>
  <c r="AZ29"/>
  <c r="AY29"/>
  <c r="BA29"/>
  <c r="AY25"/>
  <c r="AZ25"/>
  <c r="BA25"/>
  <c r="BA21"/>
  <c r="AY21"/>
  <c r="AZ21"/>
  <c r="BA17"/>
  <c r="AZ17"/>
  <c r="AY17"/>
  <c r="BA13"/>
  <c r="AY13"/>
  <c r="AZ13"/>
  <c r="Q20" i="13"/>
  <c r="P20"/>
  <c r="C50" i="17" s="1"/>
  <c r="AK34" i="4"/>
  <c r="AL34"/>
  <c r="AN10" i="25"/>
  <c r="AJ70"/>
  <c r="AN70" s="1"/>
  <c r="AM10"/>
  <c r="AN18"/>
  <c r="AM18"/>
  <c r="AM32"/>
  <c r="AN32"/>
  <c r="AN40"/>
  <c r="AM40"/>
  <c r="E28" i="17"/>
  <c r="E31" s="1"/>
  <c r="E37" s="1"/>
  <c r="F13" i="10"/>
  <c r="F28" i="17" s="1"/>
  <c r="F31" s="1"/>
  <c r="F37" s="1"/>
  <c r="E13" i="10"/>
  <c r="AU26" i="3"/>
  <c r="AT26"/>
  <c r="AS26"/>
  <c r="AL54" i="4"/>
  <c r="AK54"/>
  <c r="AS47" i="3"/>
  <c r="AU47"/>
  <c r="AT47"/>
  <c r="I18" i="5"/>
  <c r="D12" i="8"/>
  <c r="F27"/>
  <c r="AX61" i="3"/>
  <c r="D10" i="8"/>
  <c r="AI70" i="4"/>
  <c r="AK70"/>
  <c r="C11" i="8"/>
  <c r="AJ70" i="4"/>
  <c r="F16" i="17"/>
  <c r="J43" i="16"/>
  <c r="E20" i="14"/>
  <c r="F14" i="17"/>
  <c r="F54"/>
  <c r="E19" i="14"/>
  <c r="F23" i="17"/>
  <c r="F26" s="1"/>
  <c r="F36" s="1"/>
  <c r="E50" l="1"/>
  <c r="AE20" i="13"/>
  <c r="E13" i="17" s="1"/>
  <c r="D11" i="8"/>
  <c r="AL70" i="4"/>
  <c r="D17" i="8"/>
  <c r="C17"/>
  <c r="AY10" i="24"/>
  <c r="AZ10"/>
  <c r="BA10"/>
  <c r="AU61"/>
  <c r="BA61" s="1"/>
  <c r="C29" i="8"/>
  <c r="C11" i="10" s="1"/>
  <c r="F37" i="8"/>
  <c r="F39"/>
  <c r="C32"/>
  <c r="F32"/>
  <c r="F29"/>
  <c r="F46" s="1"/>
  <c r="C31"/>
  <c r="F38"/>
  <c r="F30"/>
  <c r="F31"/>
  <c r="C39"/>
  <c r="C38"/>
  <c r="F11" i="10" l="1"/>
  <c r="C38" i="17"/>
  <c r="E11" i="10"/>
  <c r="E38" i="17" l="1"/>
  <c r="E57" s="1"/>
  <c r="E21" i="10"/>
  <c r="E11" i="17" s="1"/>
  <c r="E17" s="1"/>
  <c r="E19" s="1"/>
  <c r="F38"/>
  <c r="F57" s="1"/>
  <c r="F21" i="10"/>
  <c r="F11" i="17" s="1"/>
  <c r="F17" s="1"/>
  <c r="F19" s="1"/>
</calcChain>
</file>

<file path=xl/comments1.xml><?xml version="1.0" encoding="utf-8"?>
<comments xmlns="http://schemas.openxmlformats.org/spreadsheetml/2006/main">
  <authors>
    <author>pawelec</author>
  </authors>
  <commentList>
    <comment ref="I10" authorId="0">
      <text>
        <r>
          <rPr>
            <b/>
            <sz val="8"/>
            <color indexed="81"/>
            <rFont val="Tahoma"/>
            <family val="2"/>
            <charset val="238"/>
          </rPr>
          <t>pawelec:</t>
        </r>
        <r>
          <rPr>
            <sz val="8"/>
            <color indexed="81"/>
            <rFont val="Tahoma"/>
            <family val="2"/>
            <charset val="238"/>
          </rPr>
          <t xml:space="preserve">
based on average price</t>
        </r>
      </text>
    </comment>
    <comment ref="E12" authorId="0">
      <text>
        <r>
          <rPr>
            <b/>
            <sz val="8"/>
            <color indexed="81"/>
            <rFont val="Tahoma"/>
            <family val="2"/>
            <charset val="238"/>
          </rPr>
          <t>pawelec:</t>
        </r>
        <r>
          <rPr>
            <sz val="8"/>
            <color indexed="81"/>
            <rFont val="Tahoma"/>
            <family val="2"/>
            <charset val="238"/>
          </rPr>
          <t xml:space="preserve">
based on average price</t>
        </r>
      </text>
    </comment>
    <comment ref="AJ33" authorId="0">
      <text>
        <r>
          <rPr>
            <b/>
            <sz val="8"/>
            <color indexed="81"/>
            <rFont val="Tahoma"/>
            <family val="2"/>
            <charset val="238"/>
          </rPr>
          <t>pawelec:</t>
        </r>
        <r>
          <rPr>
            <sz val="8"/>
            <color indexed="81"/>
            <rFont val="Tahoma"/>
            <family val="2"/>
            <charset val="238"/>
          </rPr>
          <t xml:space="preserve">
based on average price</t>
        </r>
      </text>
    </comment>
  </commentList>
</comments>
</file>

<file path=xl/comments2.xml><?xml version="1.0" encoding="utf-8"?>
<comments xmlns="http://schemas.openxmlformats.org/spreadsheetml/2006/main">
  <authors>
    <author>pawelec</author>
  </authors>
  <commentList>
    <comment ref="E20" authorId="0">
      <text>
        <r>
          <rPr>
            <b/>
            <sz val="8"/>
            <color indexed="81"/>
            <rFont val="Tahoma"/>
            <family val="2"/>
            <charset val="238"/>
          </rPr>
          <t>pawelec:</t>
        </r>
        <r>
          <rPr>
            <sz val="8"/>
            <color indexed="81"/>
            <rFont val="Tahoma"/>
            <family val="2"/>
            <charset val="238"/>
          </rPr>
          <t xml:space="preserve">
based on average price</t>
        </r>
      </text>
    </comment>
    <comment ref="I20" authorId="0">
      <text>
        <r>
          <rPr>
            <b/>
            <sz val="8"/>
            <color indexed="81"/>
            <rFont val="Tahoma"/>
            <family val="2"/>
            <charset val="238"/>
          </rPr>
          <t>pawelec:</t>
        </r>
        <r>
          <rPr>
            <sz val="8"/>
            <color indexed="81"/>
            <rFont val="Tahoma"/>
            <family val="2"/>
            <charset val="238"/>
          </rPr>
          <t xml:space="preserve">
based on average price
</t>
        </r>
      </text>
    </comment>
    <comment ref="H62" authorId="0">
      <text>
        <r>
          <rPr>
            <b/>
            <sz val="8"/>
            <color indexed="81"/>
            <rFont val="Tahoma"/>
            <family val="2"/>
            <charset val="238"/>
          </rPr>
          <t>pawelec:</t>
        </r>
        <r>
          <rPr>
            <sz val="8"/>
            <color indexed="81"/>
            <rFont val="Tahoma"/>
            <family val="2"/>
            <charset val="238"/>
          </rPr>
          <t xml:space="preserve">
based on average cost</t>
        </r>
      </text>
    </comment>
  </commentList>
</comments>
</file>

<file path=xl/comments3.xml><?xml version="1.0" encoding="utf-8"?>
<comments xmlns="http://schemas.openxmlformats.org/spreadsheetml/2006/main">
  <authors>
    <author>pawelec</author>
  </authors>
  <commentList>
    <comment ref="D11" authorId="0">
      <text>
        <r>
          <rPr>
            <b/>
            <sz val="8"/>
            <color indexed="81"/>
            <rFont val="Tahoma"/>
            <family val="2"/>
            <charset val="238"/>
          </rPr>
          <t>pawelec:</t>
        </r>
        <r>
          <rPr>
            <sz val="8"/>
            <color indexed="81"/>
            <rFont val="Tahoma"/>
            <family val="2"/>
            <charset val="238"/>
          </rPr>
          <t xml:space="preserve">
+ electricity generated from biogas</t>
        </r>
      </text>
    </comment>
  </commentList>
</comments>
</file>

<file path=xl/comments4.xml><?xml version="1.0" encoding="utf-8"?>
<comments xmlns="http://schemas.openxmlformats.org/spreadsheetml/2006/main">
  <authors>
    <author/>
  </authors>
  <commentList>
    <comment ref="L12" authorId="0">
      <text>
        <r>
          <rPr>
            <sz val="10"/>
            <rFont val="Times New Roman"/>
            <family val="1"/>
          </rPr>
          <t xml:space="preserve">This column is calculated from all of the breakdown and efficiency  data on this worksheet and the emissions factors for each fuel. </t>
        </r>
      </text>
    </comment>
  </commentList>
</comments>
</file>

<file path=xl/comments5.xml><?xml version="1.0" encoding="utf-8"?>
<comments xmlns="http://schemas.openxmlformats.org/spreadsheetml/2006/main">
  <authors>
    <author>pawelec</author>
  </authors>
  <commentList>
    <comment ref="D18" authorId="0">
      <text>
        <r>
          <rPr>
            <b/>
            <sz val="8"/>
            <color indexed="81"/>
            <rFont val="Tahoma"/>
            <family val="2"/>
            <charset val="238"/>
          </rPr>
          <t>pawelec:</t>
        </r>
        <r>
          <rPr>
            <sz val="8"/>
            <color indexed="81"/>
            <rFont val="Tahoma"/>
            <family val="2"/>
            <charset val="238"/>
          </rPr>
          <t xml:space="preserve">
includes CH4 &amp; N2O</t>
        </r>
      </text>
    </comment>
    <comment ref="D19" authorId="0">
      <text>
        <r>
          <rPr>
            <b/>
            <sz val="8"/>
            <color indexed="81"/>
            <rFont val="Tahoma"/>
            <family val="2"/>
            <charset val="238"/>
          </rPr>
          <t>pawelec:</t>
        </r>
        <r>
          <rPr>
            <sz val="8"/>
            <color indexed="81"/>
            <rFont val="Tahoma"/>
            <family val="2"/>
            <charset val="238"/>
          </rPr>
          <t xml:space="preserve">
includes CH4 &amp; N2O</t>
        </r>
      </text>
    </comment>
    <comment ref="D21" authorId="0">
      <text>
        <r>
          <rPr>
            <b/>
            <sz val="8"/>
            <color indexed="81"/>
            <rFont val="Tahoma"/>
            <family val="2"/>
            <charset val="238"/>
          </rPr>
          <t>pawelec:</t>
        </r>
        <r>
          <rPr>
            <sz val="8"/>
            <color indexed="81"/>
            <rFont val="Tahoma"/>
            <family val="2"/>
            <charset val="238"/>
          </rPr>
          <t xml:space="preserve">
includes CH4 &amp; N2O</t>
        </r>
      </text>
    </comment>
  </commentList>
</comments>
</file>

<file path=xl/sharedStrings.xml><?xml version="1.0" encoding="utf-8"?>
<sst xmlns="http://schemas.openxmlformats.org/spreadsheetml/2006/main" count="1745" uniqueCount="786">
  <si>
    <t>Italy NIR09 - Table 6.7 Time Series number of animals from 1990 to 2007 PLUS Dairy Cattle (Table 6.3), PLUS Non-Dairy Cattle (Table 6.4)</t>
  </si>
  <si>
    <t>kg/kWh</t>
  </si>
  <si>
    <t>N2OCoefficient</t>
  </si>
  <si>
    <t>British Columbia</t>
  </si>
  <si>
    <t>Manitoba</t>
  </si>
  <si>
    <t>New Brunswick</t>
  </si>
  <si>
    <t>Newfoundland</t>
  </si>
  <si>
    <t>Northwest Territories</t>
  </si>
  <si>
    <t>Nova Scotia</t>
  </si>
  <si>
    <t>Nunavut</t>
  </si>
  <si>
    <t>Ontario</t>
  </si>
  <si>
    <t>Prince Edward Island</t>
  </si>
  <si>
    <t>Quebec</t>
  </si>
  <si>
    <t>Saskatchewan</t>
  </si>
  <si>
    <t>Yukon</t>
  </si>
  <si>
    <t>CH4Coefficient</t>
  </si>
  <si>
    <t>Waste Share Breakdown</t>
  </si>
  <si>
    <t>Waste to Lanfill</t>
  </si>
  <si>
    <t>Waste Share (%)</t>
  </si>
  <si>
    <t>Paper Products</t>
  </si>
  <si>
    <t>Food Waste</t>
  </si>
  <si>
    <t>Plant Debris</t>
  </si>
  <si>
    <t>Wood/Textiles</t>
  </si>
  <si>
    <t>All Other Waste</t>
  </si>
  <si>
    <t>tonnes of eCO2/tonne of waste:</t>
  </si>
  <si>
    <t>This Manual and the associated GHG Inventory Tool has been developed by ICLEI European Secretariat GmbH (ICLEI), Leopoldring 3, 79098 Freiburg, Germany, Phone +49 761 36 89 20, fax +49 761 36 89 219, web www.iclei-europe.org, e-mail ccp-europe@iclei.org. Legal representative: Wolfgang Teubner, General Manager, Trade register: Amtsgericht Freiburg, HRB 4188</t>
  </si>
  <si>
    <t>Copyright: ©2010 ICLEI European Secretariat GmbH, Freiburg, Germany. All rights reserved.</t>
  </si>
  <si>
    <t>Unless stated otherwise, local governments within the LAKs Project and any extension are free to use the LAKs GHG Inventory Tool and this Manual for the purposes of developing a GHG Inventory for a local government.  However, downloading to or using this GHG Tool on your computer is done at your own risk and with your consent that you will be solely responsible for any damage to your computer system or loss of data that results from the downloading or use of this tool and associated manual.</t>
  </si>
  <si>
    <t>Unless stated or approved otherwise, the tool and manual may not be modified or altered in any way. You may not remove any copyright or other proprietary notices. Should you display any images or content originating from the tool or manual they should be attributed to ICLEI, unless otherwise stated.</t>
  </si>
  <si>
    <t>ICLEI will endeavour to ensure that this tool, or any replacement is maintained in an up-to-date state on the Cities for Climate Protection website, however we cannot guarantee this. This tool and manual could include technical or other mistakes, inaccuracies or typographical errors. While every effort has been made to provide accurate and comparable data, ICLEI can accept no liability whatsoever for any error, omission, statement or assertion contained in the tool or manual. Should errors be reported, we will endeavour to correct them.</t>
  </si>
  <si>
    <t>If you register your local government as a participant in ICLEI Europe’s Cities for Climate Protection (CCP) Campaign, you will be advised when there are updates to this tool.  There is no charge for local governments to be participants in the European CCP Campaign.</t>
  </si>
  <si>
    <t>Comments are welcome.  The LAKs Project team and ICLEI strives to provide relevant and user-friendly services and products, both in terms of quality and quantity of information design and of the actual information supplied. Please help us to improve our work and tailor it according to your needs and wishes! If time allows, take a moment to contact us with feedback.  We will carefully evaluate and use all relevant comments. Thank you!  Contact e-mail ccp-europe@iclei.org or laks@municipio.re.it</t>
  </si>
  <si>
    <t>DO NOT CHANGE OR DELETE THIS DATA HERE</t>
  </si>
  <si>
    <t>LIST SELECTION DATA</t>
  </si>
  <si>
    <t>Select Year</t>
  </si>
  <si>
    <t>Name of Local Government:</t>
  </si>
  <si>
    <t>Totals</t>
  </si>
  <si>
    <t>Total</t>
  </si>
  <si>
    <t>Description:</t>
  </si>
  <si>
    <t>Insert comments here. ( eg. represents entire fleet portfolio)</t>
  </si>
  <si>
    <t>Diesel</t>
  </si>
  <si>
    <t>Liquid Gas (LPG)</t>
  </si>
  <si>
    <t>Total Gas Used (m3)</t>
  </si>
  <si>
    <t>General Sector Notes</t>
  </si>
  <si>
    <t>kWh</t>
  </si>
  <si>
    <t>MWh</t>
  </si>
  <si>
    <t>m³</t>
  </si>
  <si>
    <t>L</t>
  </si>
  <si>
    <t>Petrol</t>
  </si>
  <si>
    <t>CNG</t>
  </si>
  <si>
    <t>NOTE 1 :</t>
  </si>
  <si>
    <t>NOTE 2 :</t>
  </si>
  <si>
    <t>In the table above the local Govt has been allocated a share of the emissions from local energy generation actions - but a share of the ("emission free") electricity and heat produced has NOT been extracted above.</t>
  </si>
  <si>
    <t>Emissions Analysis Year:</t>
  </si>
  <si>
    <t>Total Energy (MWh)</t>
  </si>
  <si>
    <t>Units</t>
  </si>
  <si>
    <t>HFC-134a</t>
  </si>
  <si>
    <t>HFC-23</t>
  </si>
  <si>
    <t>HFC-125</t>
  </si>
  <si>
    <t>HFC-143a</t>
  </si>
  <si>
    <t>HFC-152a</t>
  </si>
  <si>
    <t>HFC-227ea</t>
  </si>
  <si>
    <t>HFC-236fa</t>
  </si>
  <si>
    <t>HFC-43-10mee</t>
  </si>
  <si>
    <t>C3F8</t>
  </si>
  <si>
    <t>C4F10</t>
  </si>
  <si>
    <t>C5F12</t>
  </si>
  <si>
    <t>C6F14</t>
  </si>
  <si>
    <t>Community - Transportation Sector (VKT)</t>
  </si>
  <si>
    <t>DO NOT USE THIS SHEET FOR POLAND</t>
  </si>
  <si>
    <t>Insert comment here.  (ie. Based on study performed by tranportation dept.)</t>
  </si>
  <si>
    <t>IMPORTANT NOTE:</t>
  </si>
  <si>
    <t>Data entered on this sheet is ONLY used in the Community Summary figures if the VKT option is selected on the "General Info" worksheet.</t>
  </si>
  <si>
    <t>Total Annual Vehicle Kilometres Travelled (VKT):</t>
  </si>
  <si>
    <t>NOTE - THE % BREAKDOWN &amp; EFFICIENCY FIGURES BELOW HAVE NOT BEEN CHECKED FOR Poland</t>
  </si>
  <si>
    <t xml:space="preserve">                                                                                                                                                                                             </t>
  </si>
  <si>
    <t>CO2e Emissions (t)</t>
  </si>
  <si>
    <t>Percentage Breakdown of VKT by Vehicle Type and Fuel (%)</t>
  </si>
  <si>
    <t>Fuel Blend</t>
  </si>
  <si>
    <t>Motor Cycles (tCO2e)</t>
  </si>
  <si>
    <t>Cars (tCO2e)</t>
  </si>
  <si>
    <t>Light Truck (tCO2e)</t>
  </si>
  <si>
    <t>Heavy Truck (tCO2e)</t>
  </si>
  <si>
    <t>Bus (tCO2e)</t>
  </si>
  <si>
    <t>Tram (tCO2e)</t>
  </si>
  <si>
    <t>Total tCO2e for each fuel</t>
  </si>
  <si>
    <t>Calculated Total Quantity Used</t>
  </si>
  <si>
    <t>Motor Cycles</t>
  </si>
  <si>
    <t>Cars</t>
  </si>
  <si>
    <t>Light Truck</t>
  </si>
  <si>
    <t>Heavy Truck</t>
  </si>
  <si>
    <t>Bus</t>
  </si>
  <si>
    <t>Trams</t>
  </si>
  <si>
    <t>Bio-Diesel Blend #1</t>
  </si>
  <si>
    <t>Methane/Biogas/LandfillGas</t>
  </si>
  <si>
    <t>Ethanol-Petrol Blend #1</t>
  </si>
  <si>
    <t>Electricity #2</t>
  </si>
  <si>
    <t>Data Notes:</t>
  </si>
  <si>
    <t>#1 - Enter the biofuel percentage blend available in your community (eg E10 = 10% biofuel blend)</t>
  </si>
  <si>
    <t>#2 - Enter the percentage of purchased green electricity used for operating trams &amp; buses in your city (CAUTION)</t>
  </si>
  <si>
    <t>Vehicle Efficiency for Different Fuels (L/100km)</t>
  </si>
  <si>
    <t>tCO2/year</t>
  </si>
  <si>
    <t>%</t>
  </si>
  <si>
    <t>Dairy Cattle</t>
  </si>
  <si>
    <t>Non-Dairy Cattle</t>
  </si>
  <si>
    <t>Buffalo</t>
  </si>
  <si>
    <t>Sheep</t>
  </si>
  <si>
    <t>Goats</t>
  </si>
  <si>
    <t>Horses</t>
  </si>
  <si>
    <t>Mules &amp; Asses</t>
  </si>
  <si>
    <t>Sows</t>
  </si>
  <si>
    <t>Other Swine</t>
  </si>
  <si>
    <t>Rabbits</t>
  </si>
  <si>
    <t>Poultry</t>
  </si>
  <si>
    <t>Note 1</t>
  </si>
  <si>
    <t>Energy Source</t>
  </si>
  <si>
    <t>kg</t>
  </si>
  <si>
    <t>1 MWh  =</t>
  </si>
  <si>
    <t>MJ</t>
  </si>
  <si>
    <t>1 toe =</t>
  </si>
  <si>
    <t>GJ</t>
  </si>
  <si>
    <t>1 TJ  =</t>
  </si>
  <si>
    <t>tCO2e/TJ</t>
  </si>
  <si>
    <t>MWh/TJ</t>
  </si>
  <si>
    <t>tCO2e/MWh</t>
  </si>
  <si>
    <t>tCO2e/m3</t>
  </si>
  <si>
    <t>tCO2e/t</t>
  </si>
  <si>
    <t>Poland NIR 2005, Annex 2</t>
  </si>
  <si>
    <t>Poland NIR 2005, Table 3.4</t>
  </si>
  <si>
    <t>kWh/l</t>
  </si>
  <si>
    <t>Poland NIR 2009, Table 3.20</t>
  </si>
  <si>
    <t>MJ/l</t>
  </si>
  <si>
    <t>Spain Table A8.1</t>
  </si>
  <si>
    <t>MJ/m³</t>
  </si>
  <si>
    <t>MWh/m3</t>
  </si>
  <si>
    <t>not used</t>
  </si>
  <si>
    <t>IPCC</t>
  </si>
  <si>
    <t>Poland uses IPCC default</t>
  </si>
  <si>
    <t>Italy NIR 2009, page 58</t>
  </si>
  <si>
    <t>Poland NIR 2009 Table 8.16</t>
  </si>
  <si>
    <t>Italy NIR 2009, Table 3.7</t>
  </si>
  <si>
    <t>InventoryYear</t>
  </si>
  <si>
    <t>Note 1:</t>
  </si>
  <si>
    <t>Note 2:</t>
  </si>
  <si>
    <t>IEA Source - Electricity Emission factors Poland 1991-94</t>
  </si>
  <si>
    <r>
      <t>Emission Inventory</t>
    </r>
    <r>
      <rPr>
        <b/>
        <vertAlign val="superscript"/>
        <sz val="10"/>
        <rFont val="Arial"/>
        <family val="2"/>
      </rPr>
      <t>a</t>
    </r>
    <r>
      <rPr>
        <b/>
        <sz val="10"/>
        <rFont val="Arial"/>
        <family val="2"/>
      </rPr>
      <t xml:space="preserve"> </t>
    </r>
  </si>
  <si>
    <r>
      <t>Emission Reductions (metric tons CO</t>
    </r>
    <r>
      <rPr>
        <b/>
        <vertAlign val="subscript"/>
        <sz val="10"/>
        <rFont val="Arial"/>
        <family val="2"/>
      </rPr>
      <t>2</t>
    </r>
    <r>
      <rPr>
        <b/>
        <sz val="10"/>
        <rFont val="Arial"/>
        <family val="2"/>
      </rPr>
      <t>e/MWh)</t>
    </r>
  </si>
  <si>
    <r>
      <t>CO</t>
    </r>
    <r>
      <rPr>
        <b/>
        <vertAlign val="subscript"/>
        <sz val="9"/>
        <rFont val="Arial"/>
        <family val="2"/>
      </rPr>
      <t xml:space="preserve">2 </t>
    </r>
    <r>
      <rPr>
        <b/>
        <sz val="9"/>
        <rFont val="Arial"/>
        <family val="2"/>
      </rPr>
      <t>(metric tons/MWh)</t>
    </r>
  </si>
  <si>
    <r>
      <t>CH</t>
    </r>
    <r>
      <rPr>
        <b/>
        <vertAlign val="subscript"/>
        <sz val="9"/>
        <rFont val="Arial"/>
        <family val="2"/>
      </rPr>
      <t>4</t>
    </r>
    <r>
      <rPr>
        <b/>
        <sz val="9"/>
        <rFont val="Arial"/>
        <family val="2"/>
      </rPr>
      <t xml:space="preserve"> (kg/MWh)</t>
    </r>
  </si>
  <si>
    <r>
      <t>N</t>
    </r>
    <r>
      <rPr>
        <b/>
        <vertAlign val="subscript"/>
        <sz val="9"/>
        <rFont val="Arial"/>
        <family val="2"/>
      </rPr>
      <t>2</t>
    </r>
    <r>
      <rPr>
        <b/>
        <sz val="9"/>
        <rFont val="Arial"/>
        <family val="2"/>
      </rPr>
      <t>O (kg/MWh)</t>
    </r>
  </si>
  <si>
    <r>
      <t>Avoided Emissions</t>
    </r>
    <r>
      <rPr>
        <b/>
        <vertAlign val="superscript"/>
        <sz val="9"/>
        <rFont val="Arial"/>
        <family val="2"/>
      </rPr>
      <t>b</t>
    </r>
  </si>
  <si>
    <r>
      <t>Indirect Emissions</t>
    </r>
    <r>
      <rPr>
        <b/>
        <vertAlign val="superscript"/>
        <sz val="9"/>
        <rFont val="Arial"/>
        <family val="2"/>
      </rPr>
      <t>c</t>
    </r>
  </si>
  <si>
    <t>1991-1994</t>
  </si>
  <si>
    <t>Poland (study by MWHglobal)</t>
  </si>
  <si>
    <t>EFgrid,produced (tCO2/MWh)</t>
  </si>
  <si>
    <t>EFgrid,reduced (tCO2/MWh)</t>
  </si>
  <si>
    <t>0.699</t>
  </si>
  <si>
    <t>0.768</t>
  </si>
  <si>
    <t>0.684</t>
  </si>
  <si>
    <t>0.752</t>
  </si>
  <si>
    <t>0.669</t>
  </si>
  <si>
    <t>0.735</t>
  </si>
  <si>
    <t>0.653</t>
  </si>
  <si>
    <t>0.718</t>
  </si>
  <si>
    <t>0.638</t>
  </si>
  <si>
    <t>0.701</t>
  </si>
  <si>
    <t>Source</t>
  </si>
  <si>
    <t>Ministry of Economic Affairs of the NL, 2004</t>
  </si>
  <si>
    <t>Grid loss = 9% (IEA, 2006)</t>
  </si>
  <si>
    <t>Total Agricultural (non Energy) Emissions</t>
  </si>
  <si>
    <t>Total CH4 Emissions - All Animals</t>
  </si>
  <si>
    <t>Year</t>
  </si>
  <si>
    <t>Animal CH4 Emissions as share of Total Agriculture Emissions</t>
  </si>
  <si>
    <t>ktCO2/year</t>
  </si>
  <si>
    <t>CH4</t>
  </si>
  <si>
    <t>N2O</t>
  </si>
  <si>
    <t>Table 6.2 (4A)</t>
  </si>
  <si>
    <t>YELLOW cells are estimates derived from the official data in ITALY NIR09.</t>
  </si>
  <si>
    <t>Noted - from ITALY NIR09</t>
  </si>
  <si>
    <t>Italy NIR09 - Table 6.6 Average CH4 emission factors for enteric fermentation (kg CH4 head-1 year-1)</t>
  </si>
  <si>
    <t>Note 2</t>
  </si>
  <si>
    <t>These cells are estimates based on official data - in this case the same as 2007.  This data will be updated each year as the new NIR is issued.</t>
  </si>
  <si>
    <t>The CH4 emissions factor for poultry is estimated - NIR 2009 gives: hen = 0.82, broilers and other poultry = 0.079 kg CH4/head/year</t>
  </si>
  <si>
    <t>ADM</t>
  </si>
  <si>
    <t>BIBLIO</t>
  </si>
  <si>
    <t>BPP</t>
  </si>
  <si>
    <t>BTBS</t>
  </si>
  <si>
    <t>Galeria Miejska BWA</t>
  </si>
  <si>
    <t>GMBWA</t>
  </si>
  <si>
    <t>KPEC</t>
  </si>
  <si>
    <t>LPKIW</t>
  </si>
  <si>
    <t>MPG</t>
  </si>
  <si>
    <t>MOK</t>
  </si>
  <si>
    <t>MOPS</t>
  </si>
  <si>
    <t>MOLW</t>
  </si>
  <si>
    <t>MWIK</t>
  </si>
  <si>
    <t>MZK</t>
  </si>
  <si>
    <t>PLB</t>
  </si>
  <si>
    <t>Międzygminny Kompleks Unieszkodliwiania Odpadów ProNatura</t>
  </si>
  <si>
    <t>MKUO</t>
  </si>
  <si>
    <t>PUP</t>
  </si>
  <si>
    <t>SZ</t>
  </si>
  <si>
    <t>SWK</t>
  </si>
  <si>
    <t>SM</t>
  </si>
  <si>
    <t>TP</t>
  </si>
  <si>
    <t>TF</t>
  </si>
  <si>
    <t>WE</t>
  </si>
  <si>
    <t>WOU</t>
  </si>
  <si>
    <t>ZDMIKP</t>
  </si>
  <si>
    <t>Zakład Robót Publicznych</t>
  </si>
  <si>
    <t>ZRP</t>
  </si>
  <si>
    <t xml:space="preserve">Zespół Żłobków Miejskich </t>
  </si>
  <si>
    <t>ZZM</t>
  </si>
  <si>
    <t>BFPK</t>
  </si>
  <si>
    <t>HSW</t>
  </si>
  <si>
    <t>Bydgoszcz</t>
  </si>
  <si>
    <t>BORPA</t>
  </si>
  <si>
    <t xml:space="preserve">Izba Wytrzeźwień w Bydgoszczy </t>
  </si>
  <si>
    <t>IW</t>
  </si>
  <si>
    <t>WSM</t>
  </si>
  <si>
    <t>Miejski Ośrodek Pomocy Społecznej - MOPS ogólne</t>
  </si>
  <si>
    <t>Miejski Ośrodek Pomocy Społecznej - DPS i Domy Dziecka</t>
  </si>
  <si>
    <t>Miejski Ośrodek Pomocy Społecznej - ZPOW</t>
  </si>
  <si>
    <t>Miejskie Wodociągi i Kanalizacja - Ujęcia wody</t>
  </si>
  <si>
    <t>Miejskie Wodociągi i Kanalizacja - Oczyszczalnie ścieków</t>
  </si>
  <si>
    <t>Miejskie Wodociągi i Kanalizacja - Hydrofornie</t>
  </si>
  <si>
    <t>Spółka Wodna "Kapuściska"</t>
  </si>
  <si>
    <t>50% udziału miasta</t>
  </si>
  <si>
    <t>brak danych dot. Przebytych km w ciągu roku</t>
  </si>
  <si>
    <t>brak dostarczonych danych</t>
  </si>
  <si>
    <t>dane za 10 miesięcy od początku funkcjonowania</t>
  </si>
  <si>
    <t>brak danych za rok 2005</t>
  </si>
  <si>
    <t>dane zawierają dodatkowe zużycie z 2 równiarek i 2 walców</t>
  </si>
  <si>
    <t>brak danych dla niektórych jednostek w podgrupie</t>
  </si>
  <si>
    <t>dane dotyczą wyłącznie Biblioteki Głównej - pozostałe jednostki to lokale w budynkach administrowanych przez spółdzielnie mieszkaniowe ADM</t>
  </si>
  <si>
    <t>ilość koksu wpisany do węgla</t>
  </si>
  <si>
    <t>Administracja Domów Miejskich "ADM" Sp. z o.o.</t>
  </si>
  <si>
    <t>Bydgoski Fundusz Poręczeń Kredytowych Sp. z o.o.</t>
  </si>
  <si>
    <t>Wojewódzka i Miejska Biblioteka Publiczna im. dr Witolda Bełzy w Bydgoszczy</t>
  </si>
  <si>
    <t>Bydgoski Ośrodek Rehabilitacji ,Terapii Uzależnień i Profilaktyki "BORPA"</t>
  </si>
  <si>
    <t>Bydgoski Park Przemysłowy Sp. z o.o.</t>
  </si>
  <si>
    <t>Bydgoskie Towarzystwo Budownictwa Społecznego Sp. z o.o.</t>
  </si>
  <si>
    <t>Komunalne Przedsiębiorstwo Energetyki Cieplnej Sp. z o.o.</t>
  </si>
  <si>
    <t>Leśny Park Kultury i Wypoczynku "Myślęcinek" Sp. z o.o.</t>
  </si>
  <si>
    <t>Miejska Pracownia Geodezyjna w Bydgoszczy</t>
  </si>
  <si>
    <t>Miejski Ośrodek Kultury w Bydgoszczy</t>
  </si>
  <si>
    <t>Miejskie Zakłady Komunikacyjne Sp. z o.o. w Bydgoszczy</t>
  </si>
  <si>
    <t>Muzeum Okręgowe im. Leona Wyczółkowskiego w Bydgoszczy</t>
  </si>
  <si>
    <t>Port Lotniczy Bydgoszcz S.A.</t>
  </si>
  <si>
    <t>Powiatowy Urząd Pracy w Bydgoszczy</t>
  </si>
  <si>
    <t>Schronisko dla Zwierząt w Bydgoszczy</t>
  </si>
  <si>
    <t>Straż Miejska w Bydgoszczy</t>
  </si>
  <si>
    <t>Teatr Polski im. Hieronima Konieczki w Bydgoszczy</t>
  </si>
  <si>
    <t>Tramwaj Fordon Sp. z o.o.</t>
  </si>
  <si>
    <t>Wielospecjalistyczny Szpital Miejski im. dr Emila Warmińskiego SPZOZ w Bydgoszczy</t>
  </si>
  <si>
    <t>Wydział Obsługi Urzędu, Urząd Miasta Bydgoszczy</t>
  </si>
  <si>
    <t>Zarząd Dróg Miejskich i Komunikacji Publicznej w Bydgoszczy</t>
  </si>
  <si>
    <t>Miejskie Wodociągi i Kanalizacja Sp. z o.o. - budynki administracyjno-techniczne</t>
  </si>
  <si>
    <t>Wydział Edukacji, Urząd Miasta Bydgoszczy  - bursy, schroniska</t>
  </si>
  <si>
    <t>Wydział Edukacji, Urząd Miasta Bydgoszczy  - inne szkoły</t>
  </si>
  <si>
    <t>Wydział Edukacji, Urząd Miasta Bydgoszczy  - MDK</t>
  </si>
  <si>
    <t>Wydział Edukacji, Urząd Miasta Bydgoszczy  - ośrodki</t>
  </si>
  <si>
    <t>Wydział Edukacji, Urząd Miasta Bydgoszczy  - poradnie</t>
  </si>
  <si>
    <t>Wydział Edukacji, Urząd Miasta Bydgoszczy  - przedszkola</t>
  </si>
  <si>
    <t>Wydział Edukacji, Urząd Miasta Bydgoszczy  - szkoły podstawowe</t>
  </si>
  <si>
    <t>Wydział Edukacji, Urząd Miasta Bydgoszczy  - zespoły szkół</t>
  </si>
  <si>
    <t>Wydział Edukacji, Urząd Miasta Bydgoszczy  - gimnazja</t>
  </si>
  <si>
    <t>Spółka Wodna Kapuścińska w Bydgoszczy</t>
  </si>
  <si>
    <t>Międzygminny Kompleks Unieszkodliwiania Odpadów ProNatura - inne</t>
  </si>
  <si>
    <t>Zakład Robót Publicznych - inne</t>
  </si>
  <si>
    <t>Administracja Domów Miejskich „ADM” Sp. z o.o.</t>
  </si>
  <si>
    <t>Komunalne Przedsiębiorstwo Energetyki Cieplnej Sp. z o.o. - inne</t>
  </si>
  <si>
    <t>Leśny Park Kultury i Wypoczynku „Myślęcinek” Sp. z o.o.</t>
  </si>
  <si>
    <t>Leśny Park Kultury i Wypoczynku „Myślęcinek” Sp. z o.o. - inne</t>
  </si>
  <si>
    <t xml:space="preserve">Miejskie Wodociągi i Kanalizacja w Bydgoszczy Sp. z o.o. </t>
  </si>
  <si>
    <t>Miejskie Wodociągi i Kanalizacja w Bydgoszczy Sp. z o.o.  - inne</t>
  </si>
  <si>
    <t>Miejskie Zakłady Komunikacyjne Sp. z o.o. w Bydgoszczy - autobusy</t>
  </si>
  <si>
    <t>Miejskie Zakłady Komunikacyjne Sp. z o.o. w Bydgoszczy - tramwaje</t>
  </si>
  <si>
    <t>Port Lotniczy Bydgoszcz S.A. - inne</t>
  </si>
  <si>
    <t>Spółka Wodna Kapuściska w Bydgoszczy</t>
  </si>
  <si>
    <t>ZDMiKP</t>
  </si>
  <si>
    <t>spółka istnieje od 2008 roku</t>
  </si>
  <si>
    <t>budynek będzie udostępniony dla zwiedzających w 2010 roku</t>
  </si>
  <si>
    <t>spółka istnieje od 2009 roku</t>
  </si>
  <si>
    <t>dane niekompletne</t>
  </si>
  <si>
    <t>brak danych o pojazdach innych</t>
  </si>
  <si>
    <t>brak danych o kosztach zakupu paliw oraz ilości pojazdów i przejechanych kilometrach</t>
  </si>
  <si>
    <t>brak danych o budynkach</t>
  </si>
  <si>
    <t>31.12.2005</t>
  </si>
  <si>
    <t>KASHUE ETS data for 2005 tab.11</t>
  </si>
  <si>
    <t>KASHUE ETS data for 2005 tab.3</t>
  </si>
  <si>
    <t>KASHUE ETS data for 2005 tab.13</t>
  </si>
  <si>
    <t>Poland NIR 2010, Table 3.13</t>
  </si>
  <si>
    <t>SEAPguidelines</t>
  </si>
  <si>
    <t>tCO2/MWh</t>
  </si>
  <si>
    <t>KASHUE NAPII for heat from coal</t>
  </si>
  <si>
    <t>Bydgoskie Towarzystwo Żużlowe Polonia</t>
  </si>
  <si>
    <t>BTZP</t>
  </si>
  <si>
    <t xml:space="preserve">Bydgoski Klub Sportowy Chemik </t>
  </si>
  <si>
    <t>BKSC</t>
  </si>
  <si>
    <t xml:space="preserve">Cywilno Wojskowy Związek Sportowy Zawisza Bydgoszcz </t>
  </si>
  <si>
    <t>CWZS</t>
  </si>
  <si>
    <t>brak danych za 2005 r</t>
  </si>
  <si>
    <t>koszty bez opłat przesyłowych i abonamentowych</t>
  </si>
  <si>
    <t>budynek klubu wraz z halą oraz teren wokół budynku ze stadionem (nie dot. ogrzewania)</t>
  </si>
  <si>
    <t>użytkowonicy - tylko pracownicy</t>
  </si>
  <si>
    <t>Bydgoskie Towarzystwo Żużlowe Polonia - inne</t>
  </si>
  <si>
    <t>Bydgoski Klub Sportowy Chemik - inne</t>
  </si>
  <si>
    <t>Zarząd Dróg Miejskich i Komunikacji Publicznej w Bydgoszczy - inne</t>
  </si>
  <si>
    <t>Zarząd Dróg Miejskich i Komunikacji Publicznej w Bydgoszczy - sygnalizacja</t>
  </si>
  <si>
    <t>Miejskie Wodociągi i Kanalizacja - budynki administracyjne</t>
  </si>
  <si>
    <t>Spółka Wodna "Kapuściska" - budynki administracyjne</t>
  </si>
  <si>
    <t>z osadem (nie był unieszkodliwiany)</t>
  </si>
  <si>
    <t>Odpady składowane na wysypisku</t>
  </si>
  <si>
    <t>Komunalne Przedsiębiorstwo Energetyki Cieplnej Sp. z o.o. - lokalne</t>
  </si>
  <si>
    <t>Komunalne Przedsiębiorstwo Energetyki Cieplnej Sp. z o.o. - Osowa Góra</t>
  </si>
  <si>
    <t>Komunalne Przedsiębiorstwo Energetyki Cieplnej Sp. z o.o. - Białe Błota</t>
  </si>
  <si>
    <t>SOLAR - Thermal</t>
  </si>
  <si>
    <t>STH</t>
  </si>
  <si>
    <t>SOLAR - Photovoltaic</t>
  </si>
  <si>
    <t>PV</t>
  </si>
  <si>
    <t>Geothermal (heat pump)</t>
  </si>
  <si>
    <t>HP</t>
  </si>
  <si>
    <t>Miejskie Wodociągi i Kanalizacja - Fordon</t>
  </si>
  <si>
    <t>BGAS</t>
  </si>
  <si>
    <t>SW Kapuściska</t>
  </si>
  <si>
    <t>zakł. 10% ilości z 2009 roku</t>
  </si>
  <si>
    <t>zakł. 1 pompę ciepła</t>
  </si>
  <si>
    <t>nie istniało</t>
  </si>
  <si>
    <t>nie wykorzystywano energetycznie</t>
  </si>
  <si>
    <t>Small Hydro Plants</t>
  </si>
  <si>
    <t>SHP</t>
  </si>
  <si>
    <t>zakł. 60% czasu pracy w ciągu roku</t>
  </si>
  <si>
    <t>Osobowe - lokalny</t>
  </si>
  <si>
    <t>Ciężarowe - lokalny</t>
  </si>
  <si>
    <t>Autobusy - lokalny</t>
  </si>
  <si>
    <t>Ciągniki siodłowe - lokalny</t>
  </si>
  <si>
    <t>Motocykle i motorowery - lokalny</t>
  </si>
  <si>
    <t>OS-l</t>
  </si>
  <si>
    <t>CI-l</t>
  </si>
  <si>
    <t>AU-l</t>
  </si>
  <si>
    <t>CS-l</t>
  </si>
  <si>
    <t>MO-l</t>
  </si>
  <si>
    <t>Tranzyt</t>
  </si>
  <si>
    <t>TR</t>
  </si>
  <si>
    <t>ujęte w water &amp; sewage</t>
  </si>
  <si>
    <t>Nazwa miasta</t>
  </si>
  <si>
    <t>Działalność samorządu - budynki</t>
  </si>
  <si>
    <t>Źródła energii i jednostki</t>
  </si>
  <si>
    <t>Energia elektryczna</t>
  </si>
  <si>
    <t xml:space="preserve">Gaz ziemny wysokometanowy     </t>
  </si>
  <si>
    <t xml:space="preserve">Gaz ziemny zaazotowany </t>
  </si>
  <si>
    <t>Olej napędowy</t>
  </si>
  <si>
    <t>Olej opałowy/mazut</t>
  </si>
  <si>
    <t>Węgiel kamienny</t>
  </si>
  <si>
    <t>Węgiel brunatny</t>
  </si>
  <si>
    <t>LPG (gaz płynny)</t>
  </si>
  <si>
    <t>Nafta</t>
  </si>
  <si>
    <t>Drewno</t>
  </si>
  <si>
    <t>Energia ceiplna (sieć ciepłownicza)</t>
  </si>
  <si>
    <t>Koszt roczny (PLN)</t>
  </si>
  <si>
    <t>Roczne zużycie energii  (kWh)</t>
  </si>
  <si>
    <t>Roczne zużycie energii  (m³)</t>
  </si>
  <si>
    <t>Roczne zużycie energii  (L)</t>
  </si>
  <si>
    <t>Roczne zużycie energii  (MWh)</t>
  </si>
  <si>
    <t>Kod</t>
  </si>
  <si>
    <t>Emisja roczna  (tCO2e)</t>
  </si>
  <si>
    <t>spr. kosztów</t>
  </si>
  <si>
    <t>Roczne zużycie energii  (ton)</t>
  </si>
  <si>
    <t>Budynki/grupy budynków/obiekty</t>
  </si>
  <si>
    <t>Skopiuj i wklej ten wiersz zanim go wypełnisz</t>
  </si>
  <si>
    <t>Sumy</t>
  </si>
  <si>
    <t>Wskaźnik  Data</t>
  </si>
  <si>
    <t>Wskaźnik  1</t>
  </si>
  <si>
    <t>Wskaźnik  2</t>
  </si>
  <si>
    <t>Wskaźnik  3</t>
  </si>
  <si>
    <t>Wskaźnik  4</t>
  </si>
  <si>
    <t>Wskaźnik  5</t>
  </si>
  <si>
    <t>Wskaźnik  6</t>
  </si>
  <si>
    <t>UWAGI</t>
  </si>
  <si>
    <t>Czas uzytkowania w roku (h)</t>
  </si>
  <si>
    <t>Przeciętna liczba użykowników dziennie</t>
  </si>
  <si>
    <r>
      <t>Powierzchnia obiektu (m</t>
    </r>
    <r>
      <rPr>
        <b/>
        <vertAlign val="superscript"/>
        <sz val="9"/>
        <rFont val="Arial"/>
        <family val="2"/>
      </rPr>
      <t>2</t>
    </r>
    <r>
      <rPr>
        <b/>
        <sz val="9"/>
        <rFont val="Arial"/>
        <family val="2"/>
      </rPr>
      <t>)</t>
    </r>
  </si>
  <si>
    <t>Całkowity roczny koszt (PLN)</t>
  </si>
  <si>
    <t>Całkowita roczna emisja (tCO2e)</t>
  </si>
  <si>
    <t>Koszt roczny (PLN) / h</t>
  </si>
  <si>
    <t>Koszt roczny (PLN) / użytkownika</t>
  </si>
  <si>
    <t>Koszt roczny (PLN) / m2 powierzchni</t>
  </si>
  <si>
    <t>tCO2e / godzinę użytkowania</t>
  </si>
  <si>
    <t>tCO2e / użytkownika</t>
  </si>
  <si>
    <t>Całkowita energia elektryczna zużyta z arkusza 'Sam-Pojazdy'</t>
  </si>
  <si>
    <t>Suma:</t>
  </si>
  <si>
    <t>Ogólne uwagi do arkusza:</t>
  </si>
  <si>
    <r>
      <t>WSKAZÓWKA 1</t>
    </r>
    <r>
      <rPr>
        <sz val="10"/>
        <rFont val="Arial"/>
        <family val="2"/>
      </rPr>
      <t>: Paliwa wykorzystane do produkcji innych form energii (elektryczność, biopaliwa or ciepło) powinne być wprowadzone na arkuszu 'Lokalna Produkcja Energii'.</t>
    </r>
  </si>
  <si>
    <r>
      <t>WSKAZÓWKA 3:</t>
    </r>
    <r>
      <rPr>
        <sz val="10"/>
        <rFont val="Arial"/>
        <family val="2"/>
      </rPr>
      <t xml:space="preserve"> Proszę sprawdzić czy zużycie energii elektrycznej dla pojazdów elektrycznych nie zostało przypadkiem uwzględnione w tym arkuszu. Poniżej podano zużycie energi elektrycznej w sektorze pojazdów.</t>
    </r>
  </si>
  <si>
    <t>Rok inwentaryzacji:</t>
  </si>
  <si>
    <t>Ogólna informacja co zostało uwzględnione w tym sektorze:</t>
  </si>
  <si>
    <t>Wprowadź komentarz tutaj</t>
  </si>
  <si>
    <t>Gaz ziemny zaazotowany</t>
  </si>
  <si>
    <t>KOD</t>
  </si>
  <si>
    <r>
      <t>tCO2e / m</t>
    </r>
    <r>
      <rPr>
        <b/>
        <vertAlign val="superscript"/>
        <sz val="9"/>
        <rFont val="Arial"/>
        <family val="2"/>
      </rPr>
      <t>2</t>
    </r>
    <r>
      <rPr>
        <b/>
        <sz val="9"/>
        <rFont val="Arial"/>
        <family val="2"/>
      </rPr>
      <t xml:space="preserve"> powierzchni</t>
    </r>
  </si>
  <si>
    <r>
      <t>tCO2e / m</t>
    </r>
    <r>
      <rPr>
        <b/>
        <vertAlign val="superscript"/>
        <sz val="9"/>
        <rFont val="Arial"/>
        <family val="2"/>
      </rPr>
      <t xml:space="preserve">2 </t>
    </r>
    <r>
      <rPr>
        <b/>
        <sz val="9"/>
        <rFont val="Arial"/>
        <family val="2"/>
      </rPr>
      <t>powierzchni</t>
    </r>
  </si>
  <si>
    <t>Obliczone sumy</t>
  </si>
  <si>
    <t>Obliczanie sumy</t>
  </si>
  <si>
    <t>Udział miasta % (ułamek)</t>
  </si>
  <si>
    <t xml:space="preserve">W celu określenia udziału w emisji i zużyciu energii jednostek nie będących w 100% własnością samorządu dodano dodatkową kolumnę która podaje udział samorządu w danej jednostce. Końcowe zużycie energii odzwierciedla procentowy udział samorządu (tylko część samorządowa jest przypisywana w tym arkuszu). </t>
  </si>
  <si>
    <t>ENERGIA ELEKTRYCZNA Z SEKTORA POJAZDÓW - PROSZĘ SPRAWDZIĆ CZY NIE ZOSTAŁO TO PRZYAPDKIEM UWZGLĘDNIONE POWYŻEJ:</t>
  </si>
  <si>
    <t>Pojazd lub grupa pojazdów</t>
  </si>
  <si>
    <t>Działalność samorządu - pojazdy</t>
  </si>
  <si>
    <t>Zużyte paliwo  (L)</t>
  </si>
  <si>
    <t>Koszt  (PLN)</t>
  </si>
  <si>
    <t>Całkowita emisja  tCO2e</t>
  </si>
  <si>
    <t>Całkowita emisja  (tCO2e)</t>
  </si>
  <si>
    <t>Benzyna</t>
  </si>
  <si>
    <t>BioOlej napędowy  -Olej napędowy  Blend</t>
  </si>
  <si>
    <t xml:space="preserve">Olej napędowy </t>
  </si>
  <si>
    <t>BioOlej napędowy -Olej napędowy  Blend</t>
  </si>
  <si>
    <t xml:space="preserve">CNG </t>
  </si>
  <si>
    <t xml:space="preserve">Metan/Biogaz </t>
  </si>
  <si>
    <t xml:space="preserve">LPG </t>
  </si>
  <si>
    <t xml:space="preserve">Benzyna-Etanol (biokomponenty) </t>
  </si>
  <si>
    <t xml:space="preserve">Określ udział </t>
  </si>
  <si>
    <t>Biodiesel - Olej napędowy  (biokomponenty)</t>
  </si>
  <si>
    <t>Zużycie energi elektr. (kWh)</t>
  </si>
  <si>
    <t xml:space="preserve">Dane dla wskaźnika </t>
  </si>
  <si>
    <t xml:space="preserve">Ilość pojazdów w grupie </t>
  </si>
  <si>
    <t>Przebieg rocznie (km)</t>
  </si>
  <si>
    <t>Całkowity koszt rocznie  (PLN)</t>
  </si>
  <si>
    <t>Całkowita emisja rocznie (tCO2e)</t>
  </si>
  <si>
    <t>Całkowita emisja rocznie tCO2e</t>
  </si>
  <si>
    <t>Data Protection - ICLEI is committed to ensuring the privacy of data from local governments and for  sonal contact information. Data from local governments is not released without specific approval of the local governments involved.  All contact data is protected.  sonal information supplied is exclusively used by ICLEI or the LAKs Project team to advance the aims of the Cities for Climate Protection Campaign to help cities reduce their greenhouse gases.</t>
  </si>
  <si>
    <t xml:space="preserve"> sonel + uczniowie</t>
  </si>
  <si>
    <t xml:space="preserve"> cent Ethanol =</t>
  </si>
  <si>
    <t xml:space="preserve"> cent BioOlej napędowy  =</t>
  </si>
  <si>
    <t>Koszt  (PLN)   km</t>
  </si>
  <si>
    <t>Całkowita emisja  tCO2e   km</t>
  </si>
  <si>
    <t>Figures are Gg CO2e   year  (ie ktCO2e   year)</t>
  </si>
  <si>
    <t>Koszt  (PLN)   pojazd</t>
  </si>
  <si>
    <t>Całkowita emisja  tCO2e / pojazd</t>
  </si>
  <si>
    <t xml:space="preserve">Wskaźnik </t>
  </si>
  <si>
    <t>SUMA</t>
  </si>
  <si>
    <t>Skopiuj i wklej ten wiersz zanim go wypełnisz.</t>
  </si>
  <si>
    <t>Opis:</t>
  </si>
  <si>
    <t>Nazwa miasta:</t>
  </si>
  <si>
    <t>biokomponent  =</t>
  </si>
  <si>
    <t>biokomponent =</t>
  </si>
  <si>
    <t>Działalność samorządu - oświetlenie publiczne</t>
  </si>
  <si>
    <t>Opis tego sektora:</t>
  </si>
  <si>
    <t>Nazwa grupy</t>
  </si>
  <si>
    <t>Cost (PLN)/Lampa</t>
  </si>
  <si>
    <t>Emisja tCO2e/Lampa</t>
  </si>
  <si>
    <t>TYLKO DO CELÓW INFORMACYJNYCH - oświetlenie nie podłączone do sieci energetycznej zasilane panelami solarnymi</t>
  </si>
  <si>
    <t>Nazwa grupy zasilanej energią słoneczną</t>
  </si>
  <si>
    <t># lamp solarnych</t>
  </si>
  <si>
    <t>Moc źródła światła (W)</t>
  </si>
  <si>
    <t>Czas pracy w ciągu roku</t>
  </si>
  <si>
    <t>Roczna oszczędność energii (kWh)</t>
  </si>
  <si>
    <t>Roczna uniknięta emisja (tCO2e)</t>
  </si>
  <si>
    <t>Redukcja emisji rocznie (tCO2e/źródło)</t>
  </si>
  <si>
    <t>Wskazane tu oszczędności nie są uwzględnione w podsumowaniu</t>
  </si>
  <si>
    <t>Oświetlenie publiczne oraz światła uliczne (sygnalizacja)</t>
  </si>
  <si>
    <t>Działalność samorządu - woda i ścieki</t>
  </si>
  <si>
    <t>Opis sektora:</t>
  </si>
  <si>
    <t>Reprezentuje całą działalność w zakresie gospodarki wodno-ściekowej</t>
  </si>
  <si>
    <t>Metan/Biogaz</t>
  </si>
  <si>
    <t>Olej opałowy</t>
  </si>
  <si>
    <t>Zakład/Urządzenie/grupa urządzeń</t>
  </si>
  <si>
    <t>Koszt rocznie  (PLN)</t>
  </si>
  <si>
    <t>Emisja rocznie  tCO2e</t>
  </si>
  <si>
    <t>WSKAZÓWKA 2: Proszę wprowadzić Roczne zużycie elektryczności i ciepła w tym sektorze (budynki) na tym arkuszu. Jeżeli energia jest produkowana lokalnie będzie to pokazane w arkuszu podsumowującym, aby uniknąć podwójnego liczenia.</t>
  </si>
  <si>
    <t>Roczne zużycie energii  (GJ)</t>
  </si>
  <si>
    <t>Roczne zużycie energii  (t)</t>
  </si>
  <si>
    <t>do wskaźnika</t>
  </si>
  <si>
    <t>Roczna ilość przepompowanych wody/ścieków (ML)</t>
  </si>
  <si>
    <t>Koszt rocznie (PLN)/ML</t>
  </si>
  <si>
    <t>Emisja rocznie  tCO2e/ML</t>
  </si>
  <si>
    <r>
      <t>WSKAZÓWKA 1</t>
    </r>
    <r>
      <rPr>
        <sz val="10"/>
        <rFont val="Arial"/>
        <family val="2"/>
      </rPr>
      <t>: Paliwa wykorzystane do produkcji innych form energii (elektryczność, biopaliwa or ciepło) powinne być wprowadzone na arkuszu 'Lokalna Produkcja Energii', ALE zużycie tej energii w zakładach wodno-ściekowych powinno być uwzględnione na tym arkuszu.</t>
    </r>
  </si>
  <si>
    <t>WSKAZÓWKA 2: Emisje z osadów ściekowych powinne być wprowadzone na arkuszu 'Sam-Odpady'.</t>
  </si>
  <si>
    <t>Działalność samorządu - odpady</t>
  </si>
  <si>
    <t>Zawiera wszystkie odpady wytworzone w obiektach należących do samorządu (na podstawie umów na odbiór odpadów).</t>
  </si>
  <si>
    <t>Źródło odpadów</t>
  </si>
  <si>
    <t xml:space="preserve">Hala Sportowo-WKodowiskowa Łuczniczka Bydgoszcz </t>
  </si>
  <si>
    <t>Hala Sportowo-WKodowiskowa Łuczniczka</t>
  </si>
  <si>
    <t>Ilość odpadów (ton)</t>
  </si>
  <si>
    <t>Udział samorządu (ułamek)</t>
  </si>
  <si>
    <t>Dane dla wskaźników</t>
  </si>
  <si>
    <t>Wskaźnik</t>
  </si>
  <si>
    <t xml:space="preserve">emisja tCO2e / Wskaźnik </t>
  </si>
  <si>
    <t>Liczba pracowników  #</t>
  </si>
  <si>
    <t>Powierzchnia administracyjna (km2)</t>
  </si>
  <si>
    <t xml:space="preserve">Ogólne uwagi do sektora </t>
  </si>
  <si>
    <t xml:space="preserve">Emisja  tCO2e / Wskaźnik </t>
  </si>
  <si>
    <t>Działalność samorządu - podsumowanie</t>
  </si>
  <si>
    <t>Emisja CO2e (t)</t>
  </si>
  <si>
    <t>Sektor  SUMA</t>
  </si>
  <si>
    <t>Sektor  Opis:</t>
  </si>
  <si>
    <t xml:space="preserve">Sektor </t>
  </si>
  <si>
    <t>If the local government owns a large share of the local energy production facilities this tends to 'swamp' the impact of other Sektor s.  Maybe graphing the results without the inclusion of Local Energy Production will change your focus on the other large items.</t>
  </si>
  <si>
    <t xml:space="preserve">Sektor     </t>
  </si>
  <si>
    <t>ITALY NIR09 - Tables 6.1 &amp; 6.2 - Emissions of TOTAL GHG and trend from 1990 to 2007 for the Agriculture Sektor .</t>
  </si>
  <si>
    <t xml:space="preserve">Budynki </t>
  </si>
  <si>
    <t xml:space="preserve">Pojazdy </t>
  </si>
  <si>
    <t xml:space="preserve">Oświetlenie publiczne </t>
  </si>
  <si>
    <t xml:space="preserve">Woda i ścieki </t>
  </si>
  <si>
    <t xml:space="preserve">Składowanie odpadów (samorząd) </t>
  </si>
  <si>
    <t xml:space="preserve">Lokalna produkcje energii odnawialnej (samorząd) </t>
  </si>
  <si>
    <t xml:space="preserve">Lokalna produkcje energii nieodnawialnej (samorząd) </t>
  </si>
  <si>
    <t>Suma</t>
  </si>
  <si>
    <t>Działalność samorządu  -  Emisje CO2e oraz koszty według sektorów</t>
  </si>
  <si>
    <t>Działalność samorządu  -  Emisje CO2e oraz koszty według źródeł</t>
  </si>
  <si>
    <t xml:space="preserve">Zużyte paliwo  - Jednostki jak wprowadzono </t>
  </si>
  <si>
    <t xml:space="preserve">Jednostki jak wprowadzono </t>
  </si>
  <si>
    <t xml:space="preserve">Źródło emisji </t>
  </si>
  <si>
    <t>Ciepło sieciowe</t>
  </si>
  <si>
    <t>Gaz ziemny wysokometanowy</t>
  </si>
  <si>
    <t>Biodiesel - olej napędowy (biokomponenty)</t>
  </si>
  <si>
    <t>Węgiel brunanty</t>
  </si>
  <si>
    <t>Koks</t>
  </si>
  <si>
    <t>Spalanie odpadów</t>
  </si>
  <si>
    <t>ton</t>
  </si>
  <si>
    <t>Uwagi:</t>
  </si>
  <si>
    <t>Proszę zobaczyć arkusz 'Lokalna produkcja energii' oraz instrukcję inwentaryzacji dla bardziej szczegółowych informacji.</t>
  </si>
  <si>
    <t>Lokalna produkcja energii' - zawiera emisje z udziału samorządu w lokalnej produkcji energii.</t>
  </si>
  <si>
    <t>Uwaga:</t>
  </si>
  <si>
    <t>Proszę wprowadzić produkcję energii z tego sektora w arkuszu 'Spo-Produkcja energii'</t>
  </si>
  <si>
    <t>wszystkie mieszkalne</t>
  </si>
  <si>
    <t xml:space="preserve">Rodzaj paliwa </t>
  </si>
  <si>
    <t xml:space="preserve">Zużycie energii </t>
  </si>
  <si>
    <t>Total Zużycie energii  (MWh)</t>
  </si>
  <si>
    <t>Zużycie energii  jednostka</t>
  </si>
  <si>
    <t>jednostka</t>
  </si>
  <si>
    <t>Całkowita energia (MWh)</t>
  </si>
  <si>
    <t xml:space="preserve">Całkowita energia MWh/Wskaźnik </t>
  </si>
  <si>
    <t>Liczba mieszkańców</t>
  </si>
  <si>
    <t>liczba gospodarstw domowych</t>
  </si>
  <si>
    <t xml:space="preserve">Emisja tCO2e/Wskaźnik </t>
  </si>
  <si>
    <t>Społeczeństwo  - sektor mieszkalny</t>
  </si>
  <si>
    <t>Społeczeństwo  - Handel i usługi</t>
  </si>
  <si>
    <t>Analizowany rok:</t>
  </si>
  <si>
    <t>Nie zawiera przemysłu i usług samorządowych</t>
  </si>
  <si>
    <t>Propan</t>
  </si>
  <si>
    <t xml:space="preserve">Wskaźnik  </t>
  </si>
  <si>
    <r>
      <t>powierzchnia lokali (1000 m</t>
    </r>
    <r>
      <rPr>
        <i/>
        <vertAlign val="superscript"/>
        <sz val="11"/>
        <rFont val="Arial"/>
        <family val="2"/>
      </rPr>
      <t>2</t>
    </r>
    <r>
      <rPr>
        <i/>
        <sz val="11"/>
        <rFont val="Arial"/>
        <family val="2"/>
      </rPr>
      <t>):</t>
    </r>
  </si>
  <si>
    <t>Liczba zatrudnionych:</t>
  </si>
  <si>
    <t>Liczba przedsiębiorstw:</t>
  </si>
  <si>
    <t>Społeczeństwo  - Przemysł i inne gazy cieplarniane</t>
  </si>
  <si>
    <t>Inne GHG (patrz niżej)</t>
  </si>
  <si>
    <t>Inne gazy cieplarniane (GHG)</t>
  </si>
  <si>
    <t>Ilość (kg)</t>
  </si>
  <si>
    <t>Wprowadź GWP (wsk. emisji) z tabeli poniżej</t>
  </si>
  <si>
    <t>Całkowita emisja ekwiwalentna (tCO2e)</t>
  </si>
  <si>
    <t>Wybierz gaz</t>
  </si>
  <si>
    <t>Potencjał globalnego ocieplenia - Global Warming Potentials (GWP) wg IPCC</t>
  </si>
  <si>
    <t>Ditlenek węgla (CO2)</t>
  </si>
  <si>
    <t>Metan (CH4)</t>
  </si>
  <si>
    <t>Podtlenek azotu (N2O)</t>
  </si>
  <si>
    <t xml:space="preserve"> fluorometane (CF4)</t>
  </si>
  <si>
    <t xml:space="preserve"> fluoroetane (C2F6)</t>
  </si>
  <si>
    <t>Heksafluorek siarki (SF6)</t>
  </si>
  <si>
    <t>Suma do arkusza podsumowania:</t>
  </si>
  <si>
    <t>UWAGA:</t>
  </si>
  <si>
    <t>Dla produkcji energii przez społeczeństwo  proszę wprowadzić zagregowane wartości zużycia w arkuszu "Spo-Produkcja energii".</t>
  </si>
  <si>
    <t>Zawiera cały przemysł poza zakładami objętymi EU-ETS (ale zawiera ich zużycie elektryczności oraz ciepła sieciowego)</t>
  </si>
  <si>
    <t>Społeczeństwo  - Transport  (zużycie paliw)</t>
  </si>
  <si>
    <t xml:space="preserve">Opis:  </t>
  </si>
  <si>
    <t>Biogaz/Metan</t>
  </si>
  <si>
    <t>Biodiesel - Olej napędowy (biokomponenty)</t>
  </si>
  <si>
    <t>Emisje floty samorządowej są odjęte od sumy</t>
  </si>
  <si>
    <t>pomniejszone o emisje samorządu (Sam-Pojazdy)</t>
  </si>
  <si>
    <t>Dane wprowadzone na tym arkuszu są wykorzystane w podumowaniu tylko gdy opcja "Zużycie paliw" jest wybrana na arkuszu "Ogolne".</t>
  </si>
  <si>
    <t>Zużycie paliw</t>
  </si>
  <si>
    <t>Przejechane kilometry</t>
  </si>
  <si>
    <t xml:space="preserve">Wybierz metodę dla Spo-Transport </t>
  </si>
  <si>
    <t>Odpady tylko z Bydgoszczy (Solec Kujawski i Białe Błota oraz sektor samorządowy są wyłączone z sumy)</t>
  </si>
  <si>
    <t>Dane dla wskaźnika</t>
  </si>
  <si>
    <t xml:space="preserve">Emisja tCO2e / Wskaźnik </t>
  </si>
  <si>
    <t>Liczba mieszkańców:</t>
  </si>
  <si>
    <t>Powierzchnia administracyjna (km2):</t>
  </si>
  <si>
    <t>Społeczeństwo  - Odpady</t>
  </si>
  <si>
    <t>Społeczeństwo  - Rolnictwo</t>
  </si>
  <si>
    <t>Dane bazują na Narodwym Spisie Rolnym z 2020 r</t>
  </si>
  <si>
    <t>Emisja ze zwierząt</t>
  </si>
  <si>
    <t>Rodzaj</t>
  </si>
  <si>
    <t>Całkowite emisje</t>
  </si>
  <si>
    <t>Bydło mleczne</t>
  </si>
  <si>
    <t>Bydło inne</t>
  </si>
  <si>
    <t>Bawoły</t>
  </si>
  <si>
    <t>Owce</t>
  </si>
  <si>
    <t>Gęsi</t>
  </si>
  <si>
    <t>Konie</t>
  </si>
  <si>
    <t>Osły i muły</t>
  </si>
  <si>
    <t>Maciory</t>
  </si>
  <si>
    <t>Inne świnie</t>
  </si>
  <si>
    <t>Króliki</t>
  </si>
  <si>
    <t>Drób</t>
  </si>
  <si>
    <t>% emisji ze zwierząt do całkowitej emisji z rolnictwa dla danego roku</t>
  </si>
  <si>
    <t>Obliczone całkowite roczne emisje z rolnictwa dla danego roku</t>
  </si>
  <si>
    <t>tCO2/rok</t>
  </si>
  <si>
    <t>Nazwa terenów zielonych</t>
  </si>
  <si>
    <t>Powierzchnia terenów zielonych na początku roku (ha)</t>
  </si>
  <si>
    <t>Zmiana powierzchni w ciągu roku (ha)</t>
  </si>
  <si>
    <t>Gatunki na danym obszarze</t>
  </si>
  <si>
    <t>Liczba drzew zasadzonych/ściętych w danym obszarze</t>
  </si>
  <si>
    <t>Inwestycje w danym roku w danym obszarze</t>
  </si>
  <si>
    <t xml:space="preserve">Zaangażowanie społeczeństwa w sadzenie drzew </t>
  </si>
  <si>
    <t>Zapisy dot terenów zielonych - Dane te nie są wykorzystywane do obliczen ale może posłyżyć jako pomoc do raportowania wilkości pochłąniania z terenu miasta.</t>
  </si>
  <si>
    <t>Proszę odnieść się do instrukcji inwentaryzacji dla szczegółowych informacji.</t>
  </si>
  <si>
    <t>Społeczeństwo  - Lokalna produkcja energii</t>
  </si>
  <si>
    <t>Proszę przyczytać ogólne uwagi do sektora poniżej.</t>
  </si>
  <si>
    <t>Proszę wprowadzić produkcję energii odnawialnej i nieodnawialnej do osobnych sekcji.</t>
  </si>
  <si>
    <t>Dla każdej instalacji proszę wprowadzić dane o żużytych paliwach w celu produkcji energii.</t>
  </si>
  <si>
    <t>LOKALNA PRODUKCJA ENERGII ODNAWIALNEJ</t>
  </si>
  <si>
    <t>Społeczeństwo  - PRODUKCJA ENERGII - ŹRÓDŁA OZE</t>
  </si>
  <si>
    <t>Instalacja i rodzaj wyposażenia</t>
  </si>
  <si>
    <t>Moc zainstalowana (MW)</t>
  </si>
  <si>
    <t>Udział samorządu</t>
  </si>
  <si>
    <t>Wyprodukowana energia elektr. (MWh)</t>
  </si>
  <si>
    <t>Wyprodukowana energia cieplna (MWh)</t>
  </si>
  <si>
    <t>Wyprodukowana energia chłodu (MWh)</t>
  </si>
  <si>
    <t xml:space="preserve"> Emisja rocznie  (tCO2e)</t>
  </si>
  <si>
    <t>Zużycie energii z paliwa (MWh)</t>
  </si>
  <si>
    <t>Uwaga 1</t>
  </si>
  <si>
    <t>Suma wyprodukowanej energii elektrycznej i ciepła (MWh)</t>
  </si>
  <si>
    <t>Średni wskaźnik emisji dla produkcji energii z OZE (tCO2/MWh)</t>
  </si>
  <si>
    <t>Średni wskaźnik emisji dla produkcji energii (tCO2/MWh)</t>
  </si>
  <si>
    <t>POZOSTAŁA LOKALNA PRODUKCJA ENERGII</t>
  </si>
  <si>
    <t>Społeczeństwo  - PRODUKCJA ENERGII - POZOSTAŁE ŹRÓDŁA</t>
  </si>
  <si>
    <t>UDZIAŁ SAMORZĄDU W PRODUKCJI ENERGII OZE</t>
  </si>
  <si>
    <t>UDZIAŁ SAMORZĄDU W PRODUKCJI ENERGII POZOSTAŁYCH ŹRÓDEŁ</t>
  </si>
  <si>
    <t>Udział samorządu w sumie wyprodukowanej energii elektrycznej i ciepła OZE (MWh)</t>
  </si>
  <si>
    <t>Średni udział samorządu w emisji z produkcji energii w OZE</t>
  </si>
  <si>
    <t>Uwaga 3</t>
  </si>
  <si>
    <t>Spalanie odpadów komunalnych</t>
  </si>
  <si>
    <t>Ilość użytego drewna (ton)</t>
  </si>
  <si>
    <t>Samorząd - koszt rocznie (PLN)</t>
  </si>
  <si>
    <t>Zuzycie energii (MWh)</t>
  </si>
  <si>
    <t>Obliczone roczne (poza CO2) emisje z tego paliwa (tCO2e)</t>
  </si>
  <si>
    <t>Ilość zużytego gazu (m3)</t>
  </si>
  <si>
    <t>Ilość spalonych odpadów (ton)</t>
  </si>
  <si>
    <t>Obliczone roczne emisje z tego paliwa (tCO2e)</t>
  </si>
  <si>
    <t>Zużycie (ton)</t>
  </si>
  <si>
    <t>Zużycie (L)</t>
  </si>
  <si>
    <t>(nie używane)</t>
  </si>
  <si>
    <t>Udział samorządu w sumie wyprodukowanej energii elektrycznej i ciepła (MWh)</t>
  </si>
  <si>
    <t>Średni udział samorządu w emisji z produkcji energii</t>
  </si>
  <si>
    <t>Udział samorządu w wyprodukowanej energii elektr. (MWh)</t>
  </si>
  <si>
    <t>Udział samorządu w wyprodukowanym cieple i chłodzie (MWh)</t>
  </si>
  <si>
    <t>Udział samorządu w całkowitej emisji  (tCO2e)</t>
  </si>
  <si>
    <t>Udział samorządu w zuzyciu energii z paliwa (MWh)</t>
  </si>
  <si>
    <t>Koszty samorządu na wyprodukowaną energię OZE (PLN)</t>
  </si>
  <si>
    <t>Koszty samorządu na wyprodukowaną energię (PLN)</t>
  </si>
  <si>
    <t>Te wartości sumaryczne są uwzględnione w podsumowaniu dla społeczeństwa i będą wykorzystane do raportowania w ramach Porozumienia Burmistrzów.</t>
  </si>
  <si>
    <t>Udział samorządu w emisji i kosztach są uwzględnione na podsumowaniu działalności samorządu (Sam-Podsumowanie).</t>
  </si>
  <si>
    <t>WPROWADŹ WSZYSTKIE PALIWA WYKORZYSTANE DO PRODUKCJI ELEKTRYCZNOŚCI I CIEPŁA NA TYM ARKUSZU.</t>
  </si>
  <si>
    <t>Emisje GHG z paliw wprowadzonych na tym arkuszu nie są liczone podwójnie.</t>
  </si>
  <si>
    <t>Dane dotyczące kosztów są prawdopodobnie dostępne wyłącznie dla samorządu. Wprowadź je jeżeli nimi dysponujesz.</t>
  </si>
  <si>
    <t xml:space="preserve">Wykorzystana metoda obliczania emisji z transportu: </t>
  </si>
  <si>
    <t>Społeczeństwo  - emisje ze zużycia energii i odpadów wg sektorów</t>
  </si>
  <si>
    <t>Usługowy</t>
  </si>
  <si>
    <t>Przemysł i inne GHG</t>
  </si>
  <si>
    <t>Transport</t>
  </si>
  <si>
    <t>Mieszkalny</t>
  </si>
  <si>
    <t>Odpady (społeczeństwo)</t>
  </si>
  <si>
    <t>Rolnictwo</t>
  </si>
  <si>
    <t>Pod suma</t>
  </si>
  <si>
    <t>Wyprodukowana energia lokalnie</t>
  </si>
  <si>
    <t xml:space="preserve">Zużyte paliwo dla lokalnej produkcji energii </t>
  </si>
  <si>
    <t>Suma netto dla lokalnej produkcji energii</t>
  </si>
  <si>
    <t>Całkowite zużycie energii elektrycznej</t>
  </si>
  <si>
    <t>Pomniejszone o energię z OZE</t>
  </si>
  <si>
    <t>Pomniejszone o energię z innych źródeł lokalnych</t>
  </si>
  <si>
    <t>Netto elektryczność:</t>
  </si>
  <si>
    <t>Całkowite zużycie energii cieplnej i chłodu</t>
  </si>
  <si>
    <t>Netto energia cieplna i chłód</t>
  </si>
  <si>
    <t>Netto energia elektryczna (zakup)</t>
  </si>
  <si>
    <t>Netto ogrzewanie i chłodzenie (zakup)</t>
  </si>
  <si>
    <t>patrz wyżej</t>
  </si>
  <si>
    <t>Jednostka</t>
  </si>
  <si>
    <t xml:space="preserve">Zużyte paliwo  - jednostki jak wprowadzono </t>
  </si>
  <si>
    <t>Odpady (składowanie)</t>
  </si>
  <si>
    <t>Pozostałe GHG</t>
  </si>
  <si>
    <t>Społeczeństwo  - emisje ze zużycia energii i odpadów wg źródeł</t>
  </si>
  <si>
    <t>Społeczeństwo  Podsumowanie</t>
  </si>
  <si>
    <t>pogłowie</t>
  </si>
  <si>
    <t>Pogłowie terenie miasta</t>
  </si>
  <si>
    <t>Wskaźniki emisji dla:</t>
  </si>
  <si>
    <t>POLSKA</t>
  </si>
  <si>
    <t>Działalność samorządu - rok danych</t>
  </si>
  <si>
    <t>Działalność społeczeństwa - rok danych</t>
  </si>
  <si>
    <t>Aktualnie wybrane lata bazowe</t>
  </si>
  <si>
    <t>Wartości przeliczeniowe</t>
  </si>
  <si>
    <t>Dane w żółtych komórkach mogą być zmieniane dla miasta</t>
  </si>
  <si>
    <t>Fioletowe - dane nie zweryfikowane/nie używane dla Polski</t>
  </si>
  <si>
    <t>Różowe -  Te dane są wykorzystywane do obliczeń. Dokonując zmian ZMIENIASZ OBLICZENIA NA WSZYSTKICH ARKUSZACH.</t>
  </si>
  <si>
    <t>Wskaźnik emisji</t>
  </si>
  <si>
    <t>Uwagi do wskaźnika (źródło)</t>
  </si>
  <si>
    <t>Wskaźnik na energię (1)</t>
  </si>
  <si>
    <t>Jednostka wskaźnika</t>
  </si>
  <si>
    <t>Wskaźnik na energię (2)</t>
  </si>
  <si>
    <t>Gęstość</t>
  </si>
  <si>
    <t>WSZYSTKIE PALIWA</t>
  </si>
  <si>
    <t>STAŁE</t>
  </si>
  <si>
    <t>PŁYNNE</t>
  </si>
  <si>
    <t>GAZOWE</t>
  </si>
  <si>
    <t>węgiel kamienny</t>
  </si>
  <si>
    <t>węgiel brunatny</t>
  </si>
  <si>
    <t>koks</t>
  </si>
  <si>
    <t>drewno i odpady drzewne</t>
  </si>
  <si>
    <t>torf (z wyłączeniem biomasy)</t>
  </si>
  <si>
    <t>olej napędowy</t>
  </si>
  <si>
    <t>benzyna</t>
  </si>
  <si>
    <t>paliwo lotnicze (nafta)</t>
  </si>
  <si>
    <t>Butan</t>
  </si>
  <si>
    <t>gaz ziemny wysokometanowy</t>
  </si>
  <si>
    <t>gaz ziemny zaazotowany</t>
  </si>
  <si>
    <t>Odpady składowane</t>
  </si>
  <si>
    <t>Odpady spalane</t>
  </si>
  <si>
    <t>Odpady - frakcja kopalna</t>
  </si>
  <si>
    <t>ODPADY / INNE</t>
  </si>
  <si>
    <t>GJ/t</t>
  </si>
  <si>
    <t>MWh/t</t>
  </si>
  <si>
    <t>Comparisons between national activity data and data from international databases are usually carried out in order to find out the main differences and an explanation to them. Emission intensity Wskaźnik s among countries (e.g. emissions   capita, industrial emissions   unit of value added, road transport emissions   passenger car, emissions from power generation   kWh of electricity produced, emissions from dairy cows   t of milk produced) can also be useful to provide a preliminary check and verification of the order of magnitude of the emissions. This is carried out at European and international level by considering the annual reports compiled by the EC and the UNFCCC as well as related documentation available from international databases and outcome of relevant workshops.</t>
  </si>
  <si>
    <t>MWh/l</t>
  </si>
  <si>
    <t>tCO2e/l</t>
  </si>
  <si>
    <t>GJ/t odpadów</t>
  </si>
  <si>
    <t>Średnie roczne wskaźniki emisji dla energii elektrycznej</t>
  </si>
  <si>
    <t>Źródło danych KASHUE 2007 (PL)</t>
  </si>
  <si>
    <t>Wybrane lata bazowe:</t>
  </si>
  <si>
    <t>Samorząd</t>
  </si>
  <si>
    <t xml:space="preserve">Społeczeństwo </t>
  </si>
  <si>
    <t>Rok</t>
  </si>
  <si>
    <t>Polska</t>
  </si>
  <si>
    <t>Żółte - za IEA 1996</t>
  </si>
  <si>
    <t>nd</t>
  </si>
  <si>
    <t>Uwaga 1:</t>
  </si>
  <si>
    <t>Uwaga 2:</t>
  </si>
  <si>
    <t>Uwaga 3:</t>
  </si>
  <si>
    <t>źródłem wskaxnika jest plan rozdziłu uprawnień dla systemu handlu emisjami na lata 2008-2012</t>
  </si>
  <si>
    <t>uwzględnia on niewielki udział spalanej biomasy w elektrowniach zawodowych</t>
  </si>
  <si>
    <t>wskaźnik ten powinien być korygowany w kolejnych latach zgodnei z dostępnymi danymi (powinien ulegać zmnejszeniu)</t>
  </si>
  <si>
    <t>komantarz do wskaźnika:</t>
  </si>
  <si>
    <t>Nie dotyczy</t>
  </si>
  <si>
    <t>Wskaźniki emisji dla rolnictwa i inne dane</t>
  </si>
  <si>
    <t>Dane te opracowano na podstawie Włoch</t>
  </si>
  <si>
    <t>LAKS - narzędzie obliczeniowe dla inwentaryzacji wersja POLSKA</t>
  </si>
  <si>
    <t>Wersja 1 – opublikowana w celu wprowadzenia danych przez samorząd w ramach LAKS w POLSCE</t>
  </si>
  <si>
    <t>W niniejszym narzędziu kalkulacyjnym, oddzielne arkusze używane są do wprowadzania danych zebranych z działań Samorządu oraz sektora Społeczeństwa. W skład sektora działań Samorządu wchodzą budynki, pojazdy, oświetlenie uliczne, woda i ścieki oraz odpady. Sektor Społeczeństwa obejmuje sektor mieszkaniowy, handlowy, przemysłowy, transport oraz odpady. Oddzielne arkusze zostały przygotowane do przedstawiania podsumowania inwentaryzacji z działalności Samorządu oraz Społeczeństwa, a te wypełniane są automatycznie podczas wprowadzania danych do poszczególnych arkuszy.</t>
  </si>
  <si>
    <t>Instrukcja inwentaryzacji jest załączona do tego narzędzia obliczeniowego w celu dostarczenia pracownikom samorządowym większej ilości informacji na temat inwentaryzacji oraz dostarczenia prostej instrukcji do gromadzenia oraz wprowadzenia do narzędzia inwentaryzacji danych. Wszelkie komentarze są mile widziane w zakresie aspektów brakujących lub wymagających poprawy.</t>
  </si>
  <si>
    <t>Komórki zaznaczone kolorem jasnoniebieskim to informacje o wskaźnikach wyjściowych, które przeliczają wskaźniki automatycznie.</t>
  </si>
  <si>
    <t>Komórki zaznaczone kolorem intensywnym żółtym zawierają WAŻNE INFORMACJE - PROSZĘ SIĘ ZAPOZNAĆ!</t>
  </si>
  <si>
    <t>Komórki zaznaczone na kolor jasnożółty są zwykłymi komórkami do wprowadzania danych wymagane do wyliczenia emisji CO2e lub wskaźników.</t>
  </si>
  <si>
    <t>Komórki zaznaczone kolorem niebieskim dotyczą kosztów i mogą być wypełniane, ale nie są wymagane do wyliczania emisji CO2e</t>
  </si>
  <si>
    <t>Komórki zaznaczone kolorem różowym mogą być zastąpione danymi empirycznymi, jeżeli lepsze dane są dostępne dla danej lokalizacji.</t>
  </si>
  <si>
    <t>Komórki zaznaczone na kolor fioletowy są automatycznie przeliczane na energię całkowitą w MWh na potrzeby raportowania do Porozumienia Burmistrzów.</t>
  </si>
  <si>
    <t>Komórki zaznaczone na kolor ciemnozielony automatycznie przeliczają emisję wyrażaną w CO2e na podstawie danych wejściowych.</t>
  </si>
  <si>
    <t>UWAGI DODATKOWE:</t>
  </si>
  <si>
    <t>Więcej uwag dodatkowych na temat inwentaryzacji emisji GHG jest dostępnych w International Local Government Emissions Analysis Protocol, który być pobrany  ze strony http://www.iclei.org/ghgprotocol.</t>
  </si>
  <si>
    <t>Wskaźniki emisji dla paliw oraz energii elektrycznej stosowane do obliczania emisji wyrażanej jako CO2e zostały opracowane w Krajowym Raporcie z Inwentaryzacji przez Polskę i przesłane do UNFCC, lub z innych źródeł. Wskaźnik emisji z energii elektrycznej jest średnim wskaźnikiem rocznym wyznaczonym w wybranym roku i wyrażane jako wielkość emisji CO2e na jednostkę zużytej energii w skali krajowej. Wskaźnik emisji z energii elektrycznej musi być uaktualniany oraz przesyłany w miarę uzyskiwania lepszych informacji. Jeżeli wskaźniki emisji z energii elektrycznej w danym regionie lub mieście różnią się od wskaźników krajowych, poprawne wskaźniki mogą być wprowadzone do narzędzia. Proszę skontaktować się z działem wsparcia technicznego LAKS pod adresem laks@municipio.re.it  lub zespołem ICLEI CCP pod adresem ccp-europe@iclei.org w celu omówienia jakichkolwiek aspektów.</t>
  </si>
  <si>
    <t>LAKS- narzędzie obliczeniowe dla inwentaryzacji to arkusze stworzone w celu pomocy władzom samorządowym w ramach projektu LAKS. Ma na celu obliczenie "Samorządowych" emisji gazów cieplarnianych (równoważnik ditlenku węgla - CO2e) oraz emisji z obszaru miasta - "Społeczeństwa ". Narzędzie to pomoże obliczyć ślad węglowy na podstawie zużycia energii i produkcji odpadów. Narzędzie to zostało opracowane przez ICLEI Europe specjalnie dla projektu LAKS.</t>
  </si>
  <si>
    <t>Nazwa miasta (Uwaga 1)</t>
  </si>
  <si>
    <t>Kraj lub region (Uwaga 2)</t>
  </si>
  <si>
    <t>Rok inwentaryzacji z działalności Samorządu (Uwaga 3)</t>
  </si>
  <si>
    <t>Rok inwentaryzacji z działalności Społeczeństwa  (Uwaga 4)</t>
  </si>
  <si>
    <t>Społeczeństwo - metoda obliczania emisji z transportu (Uwaga 5)</t>
  </si>
  <si>
    <t>Wybierz kraj lub region</t>
  </si>
  <si>
    <r>
      <t>Powierzchnia obszaru (km</t>
    </r>
    <r>
      <rPr>
        <vertAlign val="superscript"/>
        <sz val="10"/>
        <rFont val="Arial"/>
        <family val="2"/>
      </rPr>
      <t>2</t>
    </r>
    <r>
      <rPr>
        <sz val="10"/>
        <rFont val="Arial"/>
        <family val="2"/>
      </rPr>
      <t>)</t>
    </r>
  </si>
  <si>
    <t>Liczba ludności</t>
  </si>
  <si>
    <t>Dzień określenia stanu liczby ludności</t>
  </si>
  <si>
    <t>Proszę wprowadzić nazwę miasta, taką jaka ma być naniesiona na stronach raportu.</t>
  </si>
  <si>
    <t xml:space="preserve">Niniejsze narzędzie do inwentaryzacji posiada wskaźniki emisji z paliw oraz energii elektrycznej dla Polski (patrz arkusz „Wskaźniki emisji paliw” oraz „Wskaźniki emisji elektryczność” . Wskaźnik emisji może zostać zmieniony w arkuszu „Wskaźniki emisji elektryczność” </t>
  </si>
  <si>
    <t xml:space="preserve">Wybór roku bazowego inwentaryzacji z działalności samorządowej zapewnia użycie, w arkuszach obliczeniowych dotyczących działalności samorządów, poprawnych wskaźników emisji dla energii elektrycznej oraz paliw kopalnianych. </t>
  </si>
  <si>
    <t>Segment działalności samorządu jest podzbiorem działalności społeczeństwa. Dane dotyczące działalności samorządu muszą być wliczone w dane dotyczące działalności społeczeństwa.</t>
  </si>
  <si>
    <t xml:space="preserve">Wybór roku bazowego inwentaryzacji z działalności społeczeństwa zapewnia użycie, w arkuszach obliczeniowych dotyczących działalności społeczeństwa, poprawnych wskaźników emisji dla energii elektrycznej oraz paliw kopalnianych. </t>
  </si>
  <si>
    <t>RADA: “Rok inwentaryzacji z działalności Samorządu” oraz „Rok inwentaryzacji z działalności Społeczeństwa” mogą być różne. Wybór roku powinien być uzależniony od dostępności niezbędnych danych. Jednocześnie należy pamiętać, że raportowanie na potrzeby Porozumienia Burmistrzów dopuszcza wybór jednego roku inwentaryzacji.</t>
  </si>
  <si>
    <t>Dostępne są dwie opcje – metoda VKT (przejechanych kilometrów w ciągu roku) lub sprzedaży paliw. DLA POLSKI PROSZĘ WYBRAĆ METODĘ OPARTĄ NA DANYCH O SPRZEDAŻY PALIW gdyż nie ma dostępnych danych do metody VKT. Obie te metody niosą ze sobą niepewność danych, jednocześnie międzynarodowe badania (oraz doświadczenie ICLEI) pokazuje, że obie metody dają zbliżone wyniki. Proszę wybrać najlepszą metodę, na podstawie dostępności danych.</t>
  </si>
  <si>
    <t>Arkusz “Lokalna produkcja energii”  został dodany w celu podsumowania wszystkich danych o lokalnej produkcji energii –zarówno ze źródeł odnawialnych jak i nieodnawialnych. Ten arkusz będzie przydatny dla tych władz samorządowych, które chcą również raportować wielkości emisji do Porozumienia Burmistrzów. Arkusz „Lokalna produkcja energii” dostarcza informacji o CAŁKOWITEJ energii oraz emisji raportowanych w arkuszu Community Summary.  STOSUNEK UDZIAŁU tych emisji jest RÓWNIEŻ przedstawiony w arkuszu Government Operations Summary . Stosunek udziału jest zgodny z udziałem lokalnych źródeł emisji znajdujących się w posiadaniu lub pod kontrolą samorządu. Więcej informacji na temat zakresu znajduje się w Instrukcji Inwentaryzacji Emisji LAKS. W celu uniknięcia komplikacji oraz dublowania danych wprowadzanych do arkuszy został stworzony arkusz „Lokalna Produkcja Energii”, w którym zawarte są instalacje należące do samorządu. Arkusz ten posługuje się wskaźnikami emisji dla Roku inwentaryzacji z działań Społeczeństwa – tak więc drobny błąd w emisjach z działalności Samorządu może mieć wpływ na emisje przedstawiane w segmencie dotyczącym działań Samorządu jeżeli rok dla działań Samorządu oraz Społeczeństwa nie jest taki sam (błąd ten jednak jest zwykle niewielki).</t>
  </si>
  <si>
    <r>
      <t xml:space="preserve">Legal Notice </t>
    </r>
    <r>
      <rPr>
        <i/>
        <sz val="10"/>
        <rFont val="Arial"/>
        <family val="2"/>
        <charset val="238"/>
      </rPr>
      <t>(Uwagi prawne autorów arkusza)</t>
    </r>
  </si>
  <si>
    <t>Informacje ogólne</t>
  </si>
  <si>
    <t>Komórki zaznaczone kolorem jasnopomarańczowym  muszą być wypełnione w celu wyliczenia emisji CO2e. Najpierw WYPEŁNIJ ARKUSZ  "OGÓLNE".</t>
  </si>
  <si>
    <t>Zużyty gaz
(m3)</t>
  </si>
  <si>
    <t>Cała flota została podzialona na 3 grupy: pojazdy, tramwaje i pojazdy specjalne</t>
  </si>
  <si>
    <t># lampa</t>
  </si>
  <si>
    <t>100% uziału miasta</t>
  </si>
  <si>
    <t>Zużyty gaz (m3)</t>
  </si>
  <si>
    <t>Data zainstalowania</t>
  </si>
  <si>
    <t>źródło?</t>
  </si>
</sst>
</file>

<file path=xl/styles.xml><?xml version="1.0" encoding="utf-8"?>
<styleSheet xmlns="http://schemas.openxmlformats.org/spreadsheetml/2006/main">
  <numFmts count="11">
    <numFmt numFmtId="172" formatCode="#,##0.00\ ;&quot; (&quot;#,##0.00\);&quot; -&quot;#\ ;@\ "/>
    <numFmt numFmtId="173" formatCode="#,##0\ ;&quot; (&quot;#,##0\);&quot; -&quot;#\ ;@\ "/>
    <numFmt numFmtId="174" formatCode="#,##0.00&quot; €&quot;"/>
    <numFmt numFmtId="175" formatCode="#,##0&quot; €&quot;"/>
    <numFmt numFmtId="176" formatCode="0.0000"/>
    <numFmt numFmtId="177" formatCode="#,##0.00000"/>
    <numFmt numFmtId="178" formatCode="0.00000"/>
    <numFmt numFmtId="179" formatCode="0.000"/>
    <numFmt numFmtId="181" formatCode="0.000000"/>
    <numFmt numFmtId="182" formatCode="#,##0.000"/>
    <numFmt numFmtId="183" formatCode="0.000E+00"/>
  </numFmts>
  <fonts count="94">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20"/>
      <color indexed="9"/>
      <name val="Arial"/>
      <family val="2"/>
    </font>
    <font>
      <b/>
      <sz val="18"/>
      <name val="Arial"/>
      <family val="2"/>
    </font>
    <font>
      <sz val="11"/>
      <name val="Arial"/>
      <family val="2"/>
    </font>
    <font>
      <b/>
      <sz val="11"/>
      <name val="Arial"/>
      <family val="2"/>
    </font>
    <font>
      <i/>
      <sz val="11"/>
      <name val="Arial"/>
      <family val="2"/>
    </font>
    <font>
      <sz val="11"/>
      <color indexed="10"/>
      <name val="Arial"/>
      <family val="2"/>
    </font>
    <font>
      <b/>
      <i/>
      <sz val="14"/>
      <name val="Arial"/>
      <family val="2"/>
    </font>
    <font>
      <b/>
      <sz val="12"/>
      <name val="Arial"/>
      <family val="2"/>
    </font>
    <font>
      <b/>
      <sz val="10"/>
      <name val="Arial"/>
      <family val="2"/>
    </font>
    <font>
      <vertAlign val="superscript"/>
      <sz val="10"/>
      <name val="Arial"/>
      <family val="2"/>
    </font>
    <font>
      <sz val="10"/>
      <color indexed="10"/>
      <name val="Arial"/>
      <family val="2"/>
    </font>
    <font>
      <b/>
      <i/>
      <sz val="11"/>
      <name val="Arial"/>
      <family val="2"/>
    </font>
    <font>
      <b/>
      <i/>
      <sz val="12"/>
      <name val="Arial"/>
      <family val="2"/>
    </font>
    <font>
      <b/>
      <i/>
      <sz val="10"/>
      <name val="Arial"/>
      <family val="2"/>
    </font>
    <font>
      <i/>
      <sz val="10"/>
      <name val="Arial"/>
      <family val="2"/>
    </font>
    <font>
      <b/>
      <sz val="9"/>
      <name val="Arial"/>
      <family val="2"/>
    </font>
    <font>
      <sz val="9"/>
      <name val="Arial"/>
      <family val="2"/>
    </font>
    <font>
      <b/>
      <sz val="8"/>
      <name val="Arial"/>
      <family val="2"/>
    </font>
    <font>
      <b/>
      <vertAlign val="superscript"/>
      <sz val="9"/>
      <name val="Arial"/>
      <family val="2"/>
    </font>
    <font>
      <sz val="8"/>
      <name val="Arial"/>
      <family val="2"/>
    </font>
    <font>
      <sz val="8"/>
      <name val="Times New Roman"/>
      <family val="1"/>
    </font>
    <font>
      <b/>
      <sz val="11"/>
      <name val="Times New Roman"/>
      <family val="1"/>
    </font>
    <font>
      <b/>
      <i/>
      <sz val="11"/>
      <name val="Times New Roman"/>
      <family val="1"/>
    </font>
    <font>
      <b/>
      <sz val="18"/>
      <name val="Times New Roman"/>
      <family val="1"/>
    </font>
    <font>
      <b/>
      <i/>
      <sz val="12"/>
      <name val="Times New Roman"/>
      <family val="1"/>
    </font>
    <font>
      <i/>
      <sz val="10"/>
      <name val="Times New Roman"/>
      <family val="1"/>
    </font>
    <font>
      <b/>
      <sz val="9"/>
      <name val="Times New Roman"/>
      <family val="1"/>
    </font>
    <font>
      <b/>
      <sz val="8"/>
      <name val="Times New Roman"/>
      <family val="1"/>
    </font>
    <font>
      <b/>
      <sz val="10"/>
      <name val="Times New Roman"/>
      <family val="1"/>
    </font>
    <font>
      <i/>
      <vertAlign val="superscript"/>
      <sz val="11"/>
      <name val="Arial"/>
      <family val="2"/>
    </font>
    <font>
      <sz val="14"/>
      <name val="Times New Roman"/>
      <family val="1"/>
    </font>
    <font>
      <i/>
      <sz val="14"/>
      <name val="Times New Roman"/>
      <family val="1"/>
    </font>
    <font>
      <b/>
      <i/>
      <sz val="14"/>
      <name val="Times New Roman"/>
      <family val="1"/>
    </font>
    <font>
      <i/>
      <sz val="12"/>
      <name val="Times New Roman"/>
      <family val="1"/>
    </font>
    <font>
      <b/>
      <i/>
      <sz val="10"/>
      <name val="Times New Roman"/>
      <family val="1"/>
    </font>
    <font>
      <b/>
      <sz val="11"/>
      <color indexed="10"/>
      <name val="Times New Roman"/>
      <family val="1"/>
    </font>
    <font>
      <sz val="9"/>
      <name val="Times New Roman"/>
      <family val="1"/>
    </font>
    <font>
      <b/>
      <sz val="12"/>
      <name val="Times New Roman"/>
      <family val="1"/>
    </font>
    <font>
      <b/>
      <sz val="18"/>
      <color indexed="9"/>
      <name val="Arial"/>
      <family val="2"/>
    </font>
    <font>
      <sz val="10"/>
      <color indexed="10"/>
      <name val="Times New Roman"/>
      <family val="1"/>
    </font>
    <font>
      <b/>
      <vertAlign val="superscript"/>
      <sz val="10"/>
      <name val="Arial"/>
      <family val="2"/>
    </font>
    <font>
      <b/>
      <vertAlign val="subscript"/>
      <sz val="10"/>
      <name val="Arial"/>
      <family val="2"/>
    </font>
    <font>
      <b/>
      <vertAlign val="subscript"/>
      <sz val="9"/>
      <name val="Arial"/>
      <family val="2"/>
    </font>
    <font>
      <sz val="10"/>
      <name val="Times New Roman"/>
      <family val="1"/>
    </font>
    <font>
      <b/>
      <sz val="8"/>
      <name val="Arial"/>
      <family val="2"/>
      <charset val="238"/>
    </font>
    <font>
      <b/>
      <sz val="8"/>
      <name val="Times New Roman"/>
      <family val="1"/>
      <charset val="238"/>
    </font>
    <font>
      <sz val="11"/>
      <color indexed="8"/>
      <name val="Times New Roman"/>
      <family val="1"/>
      <charset val="238"/>
    </font>
    <font>
      <sz val="10"/>
      <color indexed="8"/>
      <name val="Arial2"/>
      <charset val="238"/>
    </font>
    <font>
      <b/>
      <i/>
      <sz val="10"/>
      <name val="Times New Roman"/>
      <family val="1"/>
      <charset val="238"/>
    </font>
    <font>
      <sz val="8"/>
      <color indexed="81"/>
      <name val="Tahoma"/>
      <family val="2"/>
      <charset val="238"/>
    </font>
    <font>
      <b/>
      <sz val="8"/>
      <color indexed="81"/>
      <name val="Tahoma"/>
      <family val="2"/>
      <charset val="238"/>
    </font>
    <font>
      <sz val="8"/>
      <color indexed="81"/>
      <name val="Tahoma"/>
      <family val="2"/>
      <charset val="238"/>
    </font>
    <font>
      <b/>
      <sz val="8"/>
      <color indexed="81"/>
      <name val="Tahoma"/>
      <family val="2"/>
      <charset val="238"/>
    </font>
    <font>
      <b/>
      <sz val="10"/>
      <name val="Arial"/>
      <family val="2"/>
      <charset val="238"/>
    </font>
    <font>
      <b/>
      <sz val="10"/>
      <name val="Times New Roman"/>
      <family val="1"/>
      <charset val="238"/>
    </font>
    <font>
      <b/>
      <sz val="14"/>
      <name val="Arial"/>
      <family val="2"/>
      <charset val="238"/>
    </font>
    <font>
      <sz val="10"/>
      <name val="Arial"/>
      <family val="2"/>
      <charset val="238"/>
    </font>
    <font>
      <sz val="14"/>
      <name val="Arial"/>
      <family val="2"/>
      <charset val="238"/>
    </font>
    <font>
      <sz val="9"/>
      <name val="Arial"/>
      <family val="2"/>
      <charset val="238"/>
    </font>
    <font>
      <b/>
      <sz val="12"/>
      <name val="Arial"/>
      <family val="2"/>
      <charset val="238"/>
    </font>
    <font>
      <b/>
      <i/>
      <sz val="12"/>
      <name val="Arial"/>
      <family val="2"/>
      <charset val="238"/>
    </font>
    <font>
      <b/>
      <sz val="9"/>
      <name val="Arial"/>
      <family val="2"/>
      <charset val="238"/>
    </font>
    <font>
      <i/>
      <sz val="10"/>
      <name val="Arial"/>
      <family val="2"/>
      <charset val="238"/>
    </font>
    <font>
      <b/>
      <sz val="11"/>
      <color rgb="FFFF0000"/>
      <name val="Arial"/>
      <family val="2"/>
    </font>
    <font>
      <sz val="10"/>
      <color rgb="FFFF0000"/>
      <name val="Arial"/>
      <family val="2"/>
    </font>
    <font>
      <b/>
      <sz val="8"/>
      <color rgb="FFFF0000"/>
      <name val="Arial"/>
      <family val="2"/>
      <charset val="238"/>
    </font>
    <font>
      <b/>
      <sz val="8"/>
      <color rgb="FFFF0000"/>
      <name val="Arial"/>
      <family val="2"/>
    </font>
    <font>
      <sz val="10"/>
      <color rgb="FFFF0000"/>
      <name val="Times New Roman"/>
      <family val="1"/>
    </font>
    <font>
      <i/>
      <sz val="10"/>
      <color theme="0" tint="-0.499984740745262"/>
      <name val="Arial"/>
      <family val="2"/>
      <charset val="238"/>
    </font>
    <font>
      <b/>
      <sz val="11"/>
      <color rgb="FFFFFF00"/>
      <name val="Arial"/>
      <family val="2"/>
    </font>
    <font>
      <sz val="10"/>
      <color rgb="FFFFFF00"/>
      <name val="Arial"/>
      <family val="2"/>
    </font>
    <font>
      <b/>
      <sz val="18"/>
      <color rgb="FFFFFF00"/>
      <name val="Arial"/>
      <family val="2"/>
    </font>
    <font>
      <sz val="8"/>
      <color rgb="FFFFFF00"/>
      <name val="Arial"/>
      <family val="2"/>
    </font>
    <font>
      <b/>
      <sz val="9"/>
      <color rgb="FFFFFF00"/>
      <name val="Arial"/>
      <family val="2"/>
    </font>
    <font>
      <sz val="8"/>
      <color rgb="FFFFFF00"/>
      <name val="Times New Roman"/>
      <family val="1"/>
    </font>
    <font>
      <b/>
      <sz val="9"/>
      <color rgb="FFFFFF00"/>
      <name val="Times New Roman"/>
      <family val="1"/>
    </font>
    <font>
      <sz val="10"/>
      <color rgb="FFFFFF00"/>
      <name val="Arial"/>
      <family val="2"/>
      <charset val="238"/>
    </font>
  </fonts>
  <fills count="4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12"/>
        <bgColor indexed="39"/>
      </patternFill>
    </fill>
    <fill>
      <patternFill patternType="solid">
        <fgColor indexed="13"/>
        <bgColor indexed="34"/>
      </patternFill>
    </fill>
    <fill>
      <patternFill patternType="solid">
        <fgColor indexed="40"/>
        <bgColor indexed="49"/>
      </patternFill>
    </fill>
    <fill>
      <patternFill patternType="solid">
        <fgColor indexed="50"/>
        <bgColor indexed="51"/>
      </patternFill>
    </fill>
    <fill>
      <patternFill patternType="solid">
        <fgColor indexed="43"/>
        <bgColor indexed="43"/>
      </patternFill>
    </fill>
    <fill>
      <patternFill patternType="solid">
        <fgColor indexed="40"/>
        <bgColor indexed="40"/>
      </patternFill>
    </fill>
    <fill>
      <patternFill patternType="solid">
        <fgColor theme="2" tint="-0.249977111117893"/>
        <bgColor indexed="41"/>
      </patternFill>
    </fill>
    <fill>
      <patternFill patternType="solid">
        <fgColor theme="2" tint="-9.9978637043366805E-2"/>
        <bgColor indexed="26"/>
      </patternFill>
    </fill>
    <fill>
      <patternFill patternType="solid">
        <fgColor theme="2"/>
        <bgColor indexed="26"/>
      </patternFill>
    </fill>
    <fill>
      <patternFill patternType="solid">
        <fgColor theme="2"/>
        <bgColor indexed="49"/>
      </patternFill>
    </fill>
    <fill>
      <patternFill patternType="solid">
        <fgColor rgb="FFFFFF00"/>
        <bgColor indexed="64"/>
      </patternFill>
    </fill>
    <fill>
      <patternFill patternType="solid">
        <fgColor rgb="FFFFFF99"/>
        <bgColor indexed="26"/>
      </patternFill>
    </fill>
    <fill>
      <patternFill patternType="solid">
        <fgColor rgb="FF92D050"/>
        <bgColor indexed="34"/>
      </patternFill>
    </fill>
    <fill>
      <patternFill patternType="solid">
        <fgColor rgb="FF92D050"/>
        <bgColor indexed="29"/>
      </patternFill>
    </fill>
    <fill>
      <patternFill patternType="solid">
        <fgColor rgb="FF92D050"/>
        <bgColor indexed="26"/>
      </patternFill>
    </fill>
    <fill>
      <patternFill patternType="solid">
        <fgColor rgb="FFFF0000"/>
        <bgColor indexed="64"/>
      </patternFill>
    </fill>
    <fill>
      <patternFill patternType="solid">
        <fgColor rgb="FF92D050"/>
        <bgColor indexed="64"/>
      </patternFill>
    </fill>
    <fill>
      <patternFill patternType="solid">
        <fgColor theme="2" tint="-0.249977111117893"/>
        <bgColor indexed="26"/>
      </patternFill>
    </fill>
    <fill>
      <patternFill patternType="solid">
        <fgColor theme="0"/>
        <bgColor indexed="26"/>
      </patternFill>
    </fill>
    <fill>
      <patternFill patternType="solid">
        <fgColor theme="0"/>
        <bgColor indexed="64"/>
      </patternFill>
    </fill>
    <fill>
      <patternFill patternType="solid">
        <fgColor rgb="FFFFC000"/>
        <bgColor indexed="26"/>
      </patternFill>
    </fill>
  </fills>
  <borders count="9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right style="medium">
        <color indexed="8"/>
      </right>
      <top style="thin">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medium">
        <color indexed="8"/>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diagonal/>
    </border>
    <border>
      <left/>
      <right style="thin">
        <color indexed="8"/>
      </right>
      <top style="thin">
        <color indexed="8"/>
      </top>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top style="medium">
        <color indexed="8"/>
      </top>
      <bottom style="thin">
        <color indexed="8"/>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style="medium">
        <color indexed="8"/>
      </bottom>
      <diagonal/>
    </border>
    <border>
      <left style="thin">
        <color indexed="8"/>
      </left>
      <right style="medium">
        <color indexed="8"/>
      </right>
      <top style="medium">
        <color indexed="8"/>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style="medium">
        <color indexed="8"/>
      </bottom>
      <diagonal/>
    </border>
    <border>
      <left style="thin">
        <color indexed="8"/>
      </left>
      <right style="thin">
        <color indexed="8"/>
      </right>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top style="thin">
        <color indexed="8"/>
      </top>
      <bottom/>
      <diagonal/>
    </border>
    <border>
      <left style="thin">
        <color indexed="8"/>
      </left>
      <right style="thin">
        <color indexed="8"/>
      </right>
      <top/>
      <bottom style="medium">
        <color indexed="8"/>
      </bottom>
      <diagonal/>
    </border>
    <border>
      <left/>
      <right style="medium">
        <color indexed="8"/>
      </right>
      <top/>
      <bottom style="thin">
        <color indexed="8"/>
      </bottom>
      <diagonal/>
    </border>
    <border>
      <left/>
      <right style="thin">
        <color indexed="8"/>
      </right>
      <top/>
      <bottom style="thin">
        <color indexed="8"/>
      </bottom>
      <diagonal/>
    </border>
    <border>
      <left style="thin">
        <color indexed="8"/>
      </left>
      <right style="medium">
        <color indexed="8"/>
      </right>
      <top style="thin">
        <color indexed="8"/>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top style="thin">
        <color indexed="8"/>
      </top>
      <bottom/>
      <diagonal/>
    </border>
    <border>
      <left style="medium">
        <color indexed="8"/>
      </left>
      <right style="medium">
        <color indexed="8"/>
      </right>
      <top style="thin">
        <color indexed="8"/>
      </top>
      <bottom/>
      <diagonal/>
    </border>
    <border>
      <left/>
      <right/>
      <top style="thin">
        <color indexed="8"/>
      </top>
      <bottom/>
      <diagonal/>
    </border>
    <border>
      <left style="thin">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thin">
        <color indexed="8"/>
      </top>
      <bottom style="medium">
        <color indexed="8"/>
      </bottom>
      <diagonal/>
    </border>
    <border>
      <left/>
      <right/>
      <top style="medium">
        <color indexed="8"/>
      </top>
      <bottom/>
      <diagonal/>
    </border>
    <border>
      <left style="medium">
        <color indexed="8"/>
      </left>
      <right style="medium">
        <color indexed="8"/>
      </right>
      <top/>
      <bottom style="thin">
        <color indexed="8"/>
      </bottom>
      <diagonal/>
    </border>
    <border>
      <left/>
      <right/>
      <top style="thin">
        <color indexed="8"/>
      </top>
      <bottom style="thin">
        <color indexed="8"/>
      </bottom>
      <diagonal/>
    </border>
    <border>
      <left/>
      <right/>
      <top style="medium">
        <color indexed="8"/>
      </top>
      <bottom style="medium">
        <color indexed="8"/>
      </bottom>
      <diagonal/>
    </border>
    <border>
      <left/>
      <right style="medium">
        <color indexed="8"/>
      </right>
      <top style="thin">
        <color indexed="8"/>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medium">
        <color indexed="8"/>
      </top>
      <bottom style="medium">
        <color indexed="64"/>
      </bottom>
      <diagonal/>
    </border>
    <border>
      <left style="thin">
        <color indexed="8"/>
      </left>
      <right style="medium">
        <color indexed="8"/>
      </right>
      <top style="medium">
        <color indexed="8"/>
      </top>
      <bottom style="medium">
        <color indexed="64"/>
      </bottom>
      <diagonal/>
    </border>
    <border>
      <left style="medium">
        <color indexed="8"/>
      </left>
      <right/>
      <top/>
      <bottom style="thin">
        <color indexed="8"/>
      </bottom>
      <diagonal/>
    </border>
    <border>
      <left style="medium">
        <color indexed="64"/>
      </left>
      <right style="thin">
        <color indexed="8"/>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left style="medium">
        <color indexed="8"/>
      </left>
      <right/>
      <top style="medium">
        <color indexed="8"/>
      </top>
      <bottom style="medium">
        <color indexed="8"/>
      </bottom>
      <diagonal/>
    </border>
    <border>
      <left style="medium">
        <color indexed="8"/>
      </left>
      <right/>
      <top style="thin">
        <color indexed="8"/>
      </top>
      <bottom style="thin">
        <color indexed="8"/>
      </bottom>
      <diagonal/>
    </border>
    <border>
      <left style="medium">
        <color indexed="8"/>
      </left>
      <right style="thin">
        <color indexed="8"/>
      </right>
      <top style="medium">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thin">
        <color rgb="FFFF0000"/>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2" fontId="16"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2" borderId="0" applyNumberFormat="0" applyBorder="0" applyAlignment="0" applyProtection="0"/>
    <xf numFmtId="0" fontId="63" fillId="0" borderId="0"/>
    <xf numFmtId="0" fontId="60" fillId="23" borderId="7" applyNumberFormat="0" applyAlignment="0" applyProtection="0"/>
    <xf numFmtId="9" fontId="16" fillId="0" borderId="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0" borderId="0" applyNumberFormat="0" applyFill="0" applyBorder="0" applyAlignment="0" applyProtection="0"/>
  </cellStyleXfs>
  <cellXfs count="1035">
    <xf numFmtId="0" fontId="0" fillId="0" borderId="0" xfId="0"/>
    <xf numFmtId="0" fontId="16" fillId="0" borderId="11" xfId="0" applyFont="1" applyBorder="1" applyAlignment="1">
      <alignment horizontal="left" vertical="top" wrapText="1"/>
    </xf>
    <xf numFmtId="0" fontId="16" fillId="0" borderId="12" xfId="0" applyFont="1" applyBorder="1" applyAlignment="1">
      <alignment horizontal="left" vertical="top" wrapText="1"/>
    </xf>
    <xf numFmtId="0" fontId="16" fillId="0" borderId="0" xfId="0" applyFont="1"/>
    <xf numFmtId="0" fontId="16" fillId="0" borderId="0" xfId="0" applyFont="1" applyAlignment="1">
      <alignment horizontal="center" vertical="center"/>
    </xf>
    <xf numFmtId="0" fontId="16" fillId="24" borderId="0" xfId="0" applyFont="1" applyFill="1"/>
    <xf numFmtId="0" fontId="17" fillId="25" borderId="0" xfId="0" applyFont="1" applyFill="1" applyAlignment="1">
      <alignment horizontal="center"/>
    </xf>
    <xf numFmtId="0" fontId="18" fillId="24" borderId="0" xfId="0" applyFont="1" applyFill="1"/>
    <xf numFmtId="0" fontId="19" fillId="24" borderId="0" xfId="0" applyFont="1" applyFill="1"/>
    <xf numFmtId="0" fontId="20" fillId="26" borderId="0" xfId="0" applyFont="1" applyFill="1" applyAlignment="1">
      <alignment horizontal="center"/>
    </xf>
    <xf numFmtId="0" fontId="19" fillId="0" borderId="0" xfId="0" applyFont="1"/>
    <xf numFmtId="0" fontId="19" fillId="0" borderId="9" xfId="0" applyFont="1" applyBorder="1" applyAlignment="1">
      <alignment horizontal="left" wrapText="1"/>
    </xf>
    <xf numFmtId="0" fontId="19" fillId="0" borderId="0" xfId="0" applyFont="1" applyAlignment="1">
      <alignment horizontal="center" wrapText="1"/>
    </xf>
    <xf numFmtId="0" fontId="22" fillId="24" borderId="0" xfId="0" applyFont="1" applyFill="1" applyAlignment="1">
      <alignment wrapText="1"/>
    </xf>
    <xf numFmtId="0" fontId="19" fillId="24" borderId="9" xfId="0" applyFont="1" applyFill="1" applyBorder="1" applyAlignment="1">
      <alignment wrapText="1"/>
    </xf>
    <xf numFmtId="0" fontId="19" fillId="0" borderId="9" xfId="0" applyFont="1" applyBorder="1" applyAlignment="1">
      <alignment vertical="top" wrapText="1"/>
    </xf>
    <xf numFmtId="0" fontId="19" fillId="0" borderId="0" xfId="0" applyFont="1" applyFill="1" applyAlignment="1">
      <alignment horizontal="left"/>
    </xf>
    <xf numFmtId="0" fontId="20" fillId="0" borderId="10" xfId="0" applyFont="1" applyBorder="1"/>
    <xf numFmtId="0" fontId="19" fillId="24" borderId="11" xfId="0" applyFont="1" applyFill="1" applyBorder="1" applyAlignment="1">
      <alignment wrapText="1"/>
    </xf>
    <xf numFmtId="0" fontId="19" fillId="24" borderId="12" xfId="0" applyFont="1" applyFill="1" applyBorder="1" applyAlignment="1">
      <alignment wrapText="1"/>
    </xf>
    <xf numFmtId="0" fontId="16" fillId="24" borderId="13" xfId="0" applyFont="1" applyFill="1" applyBorder="1" applyAlignment="1">
      <alignment horizontal="right"/>
    </xf>
    <xf numFmtId="0" fontId="23" fillId="7" borderId="13" xfId="0" applyFont="1" applyFill="1" applyBorder="1" applyAlignment="1">
      <alignment horizontal="center"/>
    </xf>
    <xf numFmtId="0" fontId="16" fillId="0" borderId="14" xfId="0" applyFont="1" applyBorder="1"/>
    <xf numFmtId="0" fontId="24" fillId="7" borderId="13" xfId="0" applyFont="1" applyFill="1" applyBorder="1" applyAlignment="1">
      <alignment horizontal="center"/>
    </xf>
    <xf numFmtId="0" fontId="16" fillId="0" borderId="15" xfId="0" applyFont="1" applyBorder="1"/>
    <xf numFmtId="0" fontId="16" fillId="24" borderId="16" xfId="0" applyFont="1" applyFill="1" applyBorder="1" applyAlignment="1">
      <alignment horizontal="right"/>
    </xf>
    <xf numFmtId="0" fontId="24" fillId="7" borderId="16" xfId="0" applyFont="1" applyFill="1" applyBorder="1" applyAlignment="1">
      <alignment horizontal="center"/>
    </xf>
    <xf numFmtId="0" fontId="16" fillId="0" borderId="17" xfId="0" applyFont="1" applyBorder="1"/>
    <xf numFmtId="0" fontId="25" fillId="7" borderId="13" xfId="0" applyFont="1" applyFill="1" applyBorder="1" applyAlignment="1">
      <alignment horizontal="center"/>
    </xf>
    <xf numFmtId="0" fontId="16" fillId="7" borderId="13" xfId="0" applyFont="1" applyFill="1" applyBorder="1" applyAlignment="1">
      <alignment horizontal="center"/>
    </xf>
    <xf numFmtId="0" fontId="25" fillId="24" borderId="0" xfId="0" applyFont="1" applyFill="1"/>
    <xf numFmtId="0" fontId="16" fillId="24" borderId="0" xfId="0" applyFont="1" applyFill="1" applyAlignment="1">
      <alignment vertical="top"/>
    </xf>
    <xf numFmtId="0" fontId="16" fillId="24" borderId="0" xfId="0" applyFont="1" applyFill="1" applyBorder="1" applyAlignment="1">
      <alignment vertical="center" wrapText="1"/>
    </xf>
    <xf numFmtId="0" fontId="16" fillId="24" borderId="0" xfId="0" applyFont="1" applyFill="1" applyAlignment="1">
      <alignment vertical="center"/>
    </xf>
    <xf numFmtId="0" fontId="27" fillId="24" borderId="0" xfId="0" applyFont="1" applyFill="1" applyBorder="1" applyAlignment="1">
      <alignment horizontal="left" wrapText="1"/>
    </xf>
    <xf numFmtId="0" fontId="16" fillId="0" borderId="18" xfId="0" applyFont="1" applyBorder="1"/>
    <xf numFmtId="0" fontId="16" fillId="0" borderId="19" xfId="0" applyFont="1" applyBorder="1"/>
    <xf numFmtId="0" fontId="16" fillId="0" borderId="20" xfId="0" applyFont="1" applyBorder="1"/>
    <xf numFmtId="0" fontId="16" fillId="0" borderId="21" xfId="0" applyFont="1" applyBorder="1"/>
    <xf numFmtId="0" fontId="16" fillId="0" borderId="11" xfId="0" applyFont="1" applyBorder="1" applyAlignment="1">
      <alignment horizontal="left"/>
    </xf>
    <xf numFmtId="0" fontId="16" fillId="0" borderId="0" xfId="0" applyFont="1" applyAlignment="1">
      <alignment horizontal="left" vertical="top" wrapText="1"/>
    </xf>
    <xf numFmtId="0" fontId="27" fillId="0" borderId="0" xfId="0" applyFont="1"/>
    <xf numFmtId="0" fontId="16" fillId="0" borderId="10" xfId="0" applyFont="1" applyBorder="1"/>
    <xf numFmtId="0" fontId="16" fillId="0" borderId="11" xfId="0" applyFont="1" applyBorder="1"/>
    <xf numFmtId="0" fontId="16" fillId="0" borderId="0" xfId="0" applyFont="1" applyAlignment="1">
      <alignment horizontal="left"/>
    </xf>
    <xf numFmtId="0" fontId="16" fillId="0" borderId="12" xfId="0" applyFont="1" applyBorder="1" applyAlignment="1">
      <alignment horizontal="left"/>
    </xf>
    <xf numFmtId="0" fontId="16" fillId="0" borderId="12" xfId="0" applyFont="1" applyBorder="1"/>
    <xf numFmtId="3" fontId="16" fillId="0" borderId="0" xfId="0" applyNumberFormat="1" applyFont="1"/>
    <xf numFmtId="4" fontId="16" fillId="0" borderId="0" xfId="0" applyNumberFormat="1" applyFont="1"/>
    <xf numFmtId="0" fontId="16" fillId="0" borderId="0" xfId="0" applyFont="1" applyAlignment="1">
      <alignment wrapText="1"/>
    </xf>
    <xf numFmtId="0" fontId="20" fillId="24" borderId="0" xfId="0" applyFont="1" applyFill="1"/>
    <xf numFmtId="0" fontId="20" fillId="24" borderId="0" xfId="0" applyFont="1" applyFill="1" applyAlignment="1">
      <alignment horizontal="right"/>
    </xf>
    <xf numFmtId="3" fontId="20" fillId="24" borderId="0" xfId="0" applyNumberFormat="1" applyFont="1" applyFill="1"/>
    <xf numFmtId="3" fontId="16" fillId="24" borderId="0" xfId="0" applyNumberFormat="1" applyFont="1" applyFill="1"/>
    <xf numFmtId="3" fontId="20" fillId="0" borderId="0" xfId="0" applyNumberFormat="1" applyFont="1"/>
    <xf numFmtId="4" fontId="20" fillId="24" borderId="0" xfId="0" applyNumberFormat="1" applyFont="1" applyFill="1"/>
    <xf numFmtId="0" fontId="20" fillId="24" borderId="0" xfId="0" applyFont="1" applyFill="1" applyAlignment="1">
      <alignment wrapText="1"/>
    </xf>
    <xf numFmtId="0" fontId="20" fillId="0" borderId="0" xfId="0" applyFont="1"/>
    <xf numFmtId="3" fontId="16" fillId="24" borderId="0" xfId="0" applyNumberFormat="1" applyFont="1" applyFill="1" applyAlignment="1">
      <alignment horizontal="right"/>
    </xf>
    <xf numFmtId="4" fontId="16" fillId="24" borderId="0" xfId="0" applyNumberFormat="1" applyFont="1" applyFill="1"/>
    <xf numFmtId="0" fontId="16" fillId="24" borderId="0" xfId="0" applyFont="1" applyFill="1" applyAlignment="1">
      <alignment wrapText="1"/>
    </xf>
    <xf numFmtId="0" fontId="29" fillId="24" borderId="0" xfId="0" applyFont="1" applyFill="1" applyAlignment="1">
      <alignment horizontal="right"/>
    </xf>
    <xf numFmtId="0" fontId="29" fillId="24" borderId="0" xfId="0" applyFont="1" applyFill="1" applyAlignment="1">
      <alignment horizontal="center"/>
    </xf>
    <xf numFmtId="0" fontId="30" fillId="0" borderId="0" xfId="0" applyFont="1" applyFill="1" applyAlignment="1">
      <alignment horizontal="left"/>
    </xf>
    <xf numFmtId="3" fontId="16" fillId="24" borderId="0" xfId="0" applyNumberFormat="1" applyFont="1" applyFill="1" applyAlignment="1">
      <alignment horizontal="left"/>
    </xf>
    <xf numFmtId="3" fontId="16" fillId="0" borderId="0" xfId="0" applyNumberFormat="1" applyFont="1" applyFill="1" applyAlignment="1">
      <alignment horizontal="center"/>
    </xf>
    <xf numFmtId="0" fontId="31" fillId="24" borderId="0" xfId="0" applyFont="1" applyFill="1" applyAlignment="1">
      <alignment horizontal="left"/>
    </xf>
    <xf numFmtId="0" fontId="16" fillId="24" borderId="0" xfId="0" applyFont="1" applyFill="1" applyAlignment="1">
      <alignment horizontal="left"/>
    </xf>
    <xf numFmtId="3" fontId="16" fillId="24" borderId="0" xfId="0" applyNumberFormat="1" applyFont="1" applyFill="1" applyBorder="1"/>
    <xf numFmtId="3" fontId="16" fillId="0" borderId="0" xfId="0" applyNumberFormat="1" applyFont="1" applyBorder="1"/>
    <xf numFmtId="3" fontId="25" fillId="24" borderId="0" xfId="0" applyNumberFormat="1" applyFont="1" applyFill="1"/>
    <xf numFmtId="0" fontId="32" fillId="24" borderId="0" xfId="0" applyFont="1" applyFill="1" applyAlignment="1">
      <alignment horizontal="center"/>
    </xf>
    <xf numFmtId="0" fontId="32" fillId="22" borderId="22" xfId="0" applyFont="1" applyFill="1" applyBorder="1" applyAlignment="1">
      <alignment horizontal="center"/>
    </xf>
    <xf numFmtId="0" fontId="32" fillId="22" borderId="23" xfId="0" applyFont="1" applyFill="1" applyBorder="1" applyAlignment="1">
      <alignment horizontal="center"/>
    </xf>
    <xf numFmtId="0" fontId="32" fillId="22" borderId="24" xfId="0" applyFont="1" applyFill="1" applyBorder="1" applyAlignment="1">
      <alignment horizontal="center"/>
    </xf>
    <xf numFmtId="4" fontId="32" fillId="22" borderId="24" xfId="0" applyNumberFormat="1" applyFont="1" applyFill="1" applyBorder="1" applyAlignment="1">
      <alignment horizontal="center"/>
    </xf>
    <xf numFmtId="4" fontId="32" fillId="22" borderId="25" xfId="0" applyNumberFormat="1" applyFont="1" applyFill="1" applyBorder="1" applyAlignment="1">
      <alignment horizontal="center"/>
    </xf>
    <xf numFmtId="0" fontId="32" fillId="24" borderId="0" xfId="0" applyFont="1" applyFill="1" applyAlignment="1">
      <alignment horizontal="center" wrapText="1"/>
    </xf>
    <xf numFmtId="0" fontId="32" fillId="0" borderId="0" xfId="0" applyFont="1" applyAlignment="1">
      <alignment horizontal="center"/>
    </xf>
    <xf numFmtId="0" fontId="33" fillId="24" borderId="0" xfId="0" applyFont="1" applyFill="1" applyAlignment="1">
      <alignment horizontal="center"/>
    </xf>
    <xf numFmtId="3" fontId="32" fillId="0" borderId="13" xfId="0" applyNumberFormat="1" applyFont="1" applyBorder="1" applyAlignment="1">
      <alignment horizontal="center" wrapText="1"/>
    </xf>
    <xf numFmtId="3" fontId="32" fillId="0" borderId="26" xfId="0" applyNumberFormat="1" applyFont="1" applyBorder="1" applyAlignment="1">
      <alignment horizontal="center" wrapText="1"/>
    </xf>
    <xf numFmtId="0" fontId="16" fillId="24" borderId="27" xfId="0" applyFont="1" applyFill="1" applyBorder="1"/>
    <xf numFmtId="0" fontId="34" fillId="0" borderId="28" xfId="0" applyFont="1" applyBorder="1" applyAlignment="1">
      <alignment horizontal="center"/>
    </xf>
    <xf numFmtId="0" fontId="32" fillId="0" borderId="29" xfId="0" applyFont="1" applyBorder="1" applyAlignment="1">
      <alignment horizontal="center" wrapText="1"/>
    </xf>
    <xf numFmtId="0" fontId="32" fillId="0" borderId="13" xfId="0" applyFont="1" applyBorder="1" applyAlignment="1">
      <alignment horizontal="center" wrapText="1"/>
    </xf>
    <xf numFmtId="4" fontId="32" fillId="0" borderId="13" xfId="0" applyNumberFormat="1" applyFont="1" applyBorder="1" applyAlignment="1">
      <alignment horizontal="center" wrapText="1"/>
    </xf>
    <xf numFmtId="4" fontId="32" fillId="0" borderId="26" xfId="0" applyNumberFormat="1" applyFont="1" applyBorder="1" applyAlignment="1">
      <alignment horizontal="center" wrapText="1"/>
    </xf>
    <xf numFmtId="0" fontId="32" fillId="24" borderId="13" xfId="0" applyFont="1" applyFill="1" applyBorder="1" applyAlignment="1">
      <alignment horizontal="center" wrapText="1"/>
    </xf>
    <xf numFmtId="0" fontId="33" fillId="0" borderId="0" xfId="0" applyFont="1" applyAlignment="1">
      <alignment horizontal="center"/>
    </xf>
    <xf numFmtId="0" fontId="36" fillId="24" borderId="0" xfId="0" applyFont="1" applyFill="1"/>
    <xf numFmtId="0" fontId="34" fillId="0" borderId="28" xfId="0" applyFont="1" applyBorder="1"/>
    <xf numFmtId="0" fontId="34" fillId="0" borderId="29" xfId="0" applyFont="1" applyBorder="1"/>
    <xf numFmtId="3" fontId="36" fillId="22" borderId="13" xfId="0" applyNumberFormat="1" applyFont="1" applyFill="1" applyBorder="1"/>
    <xf numFmtId="3" fontId="36" fillId="27" borderId="13" xfId="0" applyNumberFormat="1" applyFont="1" applyFill="1" applyBorder="1"/>
    <xf numFmtId="3" fontId="36" fillId="28" borderId="13" xfId="0" applyNumberFormat="1" applyFont="1" applyFill="1" applyBorder="1"/>
    <xf numFmtId="3" fontId="36" fillId="28" borderId="26" xfId="0" applyNumberFormat="1" applyFont="1" applyFill="1" applyBorder="1"/>
    <xf numFmtId="0" fontId="36" fillId="22" borderId="13" xfId="0" applyFont="1" applyFill="1" applyBorder="1"/>
    <xf numFmtId="4" fontId="36" fillId="6" borderId="13" xfId="0" applyNumberFormat="1" applyFont="1" applyFill="1" applyBorder="1"/>
    <xf numFmtId="4" fontId="36" fillId="6" borderId="26" xfId="0" applyNumberFormat="1" applyFont="1" applyFill="1" applyBorder="1"/>
    <xf numFmtId="0" fontId="36" fillId="24" borderId="13" xfId="0" applyFont="1" applyFill="1" applyBorder="1" applyAlignment="1">
      <alignment wrapText="1"/>
    </xf>
    <xf numFmtId="0" fontId="36" fillId="0" borderId="0" xfId="0" applyFont="1"/>
    <xf numFmtId="0" fontId="36" fillId="0" borderId="28" xfId="0" applyFont="1" applyBorder="1"/>
    <xf numFmtId="0" fontId="36" fillId="0" borderId="29" xfId="0" applyFont="1" applyBorder="1"/>
    <xf numFmtId="0" fontId="37" fillId="26" borderId="28" xfId="0" applyFont="1" applyFill="1" applyBorder="1"/>
    <xf numFmtId="0" fontId="32" fillId="24" borderId="0" xfId="0" applyFont="1" applyFill="1"/>
    <xf numFmtId="0" fontId="32" fillId="0" borderId="30" xfId="0" applyFont="1" applyBorder="1" applyAlignment="1">
      <alignment horizontal="right"/>
    </xf>
    <xf numFmtId="0" fontId="32" fillId="0" borderId="31" xfId="0" applyFont="1" applyBorder="1" applyAlignment="1">
      <alignment horizontal="right"/>
    </xf>
    <xf numFmtId="3" fontId="32" fillId="0" borderId="32" xfId="0" applyNumberFormat="1" applyFont="1" applyBorder="1" applyAlignment="1">
      <alignment horizontal="right"/>
    </xf>
    <xf numFmtId="3" fontId="32" fillId="0" borderId="32" xfId="0" applyNumberFormat="1" applyFont="1" applyBorder="1"/>
    <xf numFmtId="3" fontId="32" fillId="0" borderId="33" xfId="0" applyNumberFormat="1" applyFont="1" applyBorder="1"/>
    <xf numFmtId="0" fontId="32" fillId="0" borderId="32" xfId="0" applyFont="1" applyBorder="1"/>
    <xf numFmtId="0" fontId="32" fillId="0" borderId="32" xfId="0" applyFont="1" applyFill="1" applyBorder="1"/>
    <xf numFmtId="1" fontId="32" fillId="0" borderId="32" xfId="28" applyNumberFormat="1" applyFont="1" applyFill="1" applyBorder="1" applyAlignment="1" applyProtection="1"/>
    <xf numFmtId="4" fontId="34" fillId="0" borderId="13" xfId="0" applyNumberFormat="1" applyFont="1" applyBorder="1"/>
    <xf numFmtId="4" fontId="36" fillId="0" borderId="13" xfId="0" applyNumberFormat="1" applyFont="1" applyBorder="1"/>
    <xf numFmtId="0" fontId="34" fillId="0" borderId="26" xfId="0" applyNumberFormat="1" applyFont="1" applyBorder="1"/>
    <xf numFmtId="0" fontId="32" fillId="24" borderId="13" xfId="0" applyFont="1" applyFill="1" applyBorder="1" applyAlignment="1">
      <alignment wrapText="1"/>
    </xf>
    <xf numFmtId="0" fontId="32" fillId="0" borderId="0" xfId="0" applyFont="1"/>
    <xf numFmtId="0" fontId="32" fillId="0" borderId="0" xfId="0" applyFont="1" applyBorder="1" applyAlignment="1">
      <alignment horizontal="right"/>
    </xf>
    <xf numFmtId="3" fontId="32" fillId="0" borderId="0" xfId="0" applyNumberFormat="1" applyFont="1" applyBorder="1" applyAlignment="1">
      <alignment horizontal="right"/>
    </xf>
    <xf numFmtId="3" fontId="32" fillId="0" borderId="0" xfId="0" applyNumberFormat="1" applyFont="1" applyBorder="1"/>
    <xf numFmtId="0" fontId="32" fillId="0" borderId="0" xfId="0" applyFont="1" applyBorder="1"/>
    <xf numFmtId="0" fontId="32" fillId="0" borderId="0" xfId="0" applyFont="1" applyFill="1" applyBorder="1"/>
    <xf numFmtId="173" fontId="32" fillId="0" borderId="0" xfId="28" applyNumberFormat="1" applyFont="1" applyFill="1" applyBorder="1" applyAlignment="1" applyProtection="1"/>
    <xf numFmtId="4" fontId="34" fillId="0" borderId="0" xfId="0" applyNumberFormat="1" applyFont="1" applyBorder="1"/>
    <xf numFmtId="0" fontId="32" fillId="24" borderId="0" xfId="0" applyFont="1" applyFill="1" applyAlignment="1">
      <alignment wrapText="1"/>
    </xf>
    <xf numFmtId="3" fontId="16" fillId="24" borderId="34" xfId="0" applyNumberFormat="1" applyFont="1" applyFill="1" applyBorder="1"/>
    <xf numFmtId="0" fontId="32" fillId="0" borderId="0" xfId="0" applyFont="1" applyBorder="1" applyAlignment="1">
      <alignment horizontal="left"/>
    </xf>
    <xf numFmtId="3" fontId="16" fillId="22" borderId="13" xfId="0" applyNumberFormat="1" applyFont="1" applyFill="1" applyBorder="1"/>
    <xf numFmtId="3" fontId="16" fillId="24" borderId="13" xfId="0" applyNumberFormat="1" applyFont="1" applyFill="1" applyBorder="1"/>
    <xf numFmtId="3" fontId="16" fillId="28" borderId="13" xfId="0" applyNumberFormat="1" applyFont="1" applyFill="1" applyBorder="1"/>
    <xf numFmtId="0" fontId="16" fillId="24" borderId="34" xfId="0" applyFont="1" applyFill="1" applyBorder="1"/>
    <xf numFmtId="3" fontId="25" fillId="24" borderId="0" xfId="0" applyNumberFormat="1" applyFont="1" applyFill="1" applyAlignment="1">
      <alignment horizontal="right"/>
    </xf>
    <xf numFmtId="3" fontId="16" fillId="24" borderId="0" xfId="0" applyNumberFormat="1" applyFont="1" applyFill="1" applyAlignment="1">
      <alignment horizontal="center"/>
    </xf>
    <xf numFmtId="0" fontId="0" fillId="0" borderId="0" xfId="0" applyBorder="1"/>
    <xf numFmtId="3" fontId="0" fillId="0" borderId="0" xfId="0" applyNumberFormat="1"/>
    <xf numFmtId="0" fontId="0" fillId="0" borderId="0" xfId="0" applyAlignment="1">
      <alignment wrapText="1"/>
    </xf>
    <xf numFmtId="0" fontId="38" fillId="24" borderId="0" xfId="0" applyFont="1" applyFill="1"/>
    <xf numFmtId="0" fontId="38" fillId="24" borderId="0" xfId="0" applyFont="1" applyFill="1" applyAlignment="1">
      <alignment horizontal="right"/>
    </xf>
    <xf numFmtId="3" fontId="38" fillId="24" borderId="0" xfId="0" applyNumberFormat="1" applyFont="1" applyFill="1"/>
    <xf numFmtId="3" fontId="38" fillId="0" borderId="0" xfId="0" applyNumberFormat="1" applyFont="1"/>
    <xf numFmtId="4" fontId="38" fillId="24" borderId="0" xfId="0" applyNumberFormat="1" applyFont="1" applyFill="1"/>
    <xf numFmtId="0" fontId="38" fillId="24" borderId="0" xfId="0" applyFont="1" applyFill="1" applyAlignment="1">
      <alignment wrapText="1"/>
    </xf>
    <xf numFmtId="0" fontId="38" fillId="0" borderId="0" xfId="0" applyFont="1"/>
    <xf numFmtId="3" fontId="0" fillId="24" borderId="0" xfId="0" applyNumberFormat="1" applyFill="1"/>
    <xf numFmtId="0" fontId="0" fillId="24" borderId="0" xfId="0" applyFill="1"/>
    <xf numFmtId="0" fontId="0" fillId="24" borderId="0" xfId="0" applyFill="1" applyAlignment="1">
      <alignment wrapText="1"/>
    </xf>
    <xf numFmtId="0" fontId="40" fillId="24" borderId="0" xfId="0" applyFont="1" applyFill="1"/>
    <xf numFmtId="0" fontId="41" fillId="24" borderId="0" xfId="0" applyFont="1" applyFill="1" applyAlignment="1">
      <alignment horizontal="right"/>
    </xf>
    <xf numFmtId="0" fontId="41" fillId="24" borderId="0" xfId="0" applyFont="1" applyFill="1" applyAlignment="1">
      <alignment horizontal="center"/>
    </xf>
    <xf numFmtId="3" fontId="0" fillId="24" borderId="0" xfId="0" applyNumberFormat="1" applyFill="1" applyAlignment="1">
      <alignment horizontal="left"/>
    </xf>
    <xf numFmtId="0" fontId="0" fillId="24" borderId="0" xfId="0" applyFill="1" applyAlignment="1">
      <alignment horizontal="left"/>
    </xf>
    <xf numFmtId="3" fontId="0" fillId="26" borderId="35" xfId="0" applyNumberFormat="1" applyFill="1" applyBorder="1"/>
    <xf numFmtId="3" fontId="0" fillId="26" borderId="35" xfId="0" applyNumberFormat="1" applyFont="1" applyFill="1" applyBorder="1" applyAlignment="1">
      <alignment horizontal="center"/>
    </xf>
    <xf numFmtId="0" fontId="0" fillId="26" borderId="27" xfId="0" applyFill="1" applyBorder="1"/>
    <xf numFmtId="0" fontId="42" fillId="24" borderId="0" xfId="0" applyFont="1" applyFill="1" applyAlignment="1">
      <alignment horizontal="left"/>
    </xf>
    <xf numFmtId="3" fontId="0" fillId="26" borderId="36" xfId="0" applyNumberFormat="1" applyFont="1" applyFill="1" applyBorder="1"/>
    <xf numFmtId="3" fontId="0" fillId="26" borderId="37" xfId="0" applyNumberFormat="1" applyFill="1" applyBorder="1"/>
    <xf numFmtId="9" fontId="16" fillId="7" borderId="9" xfId="39" applyFill="1" applyBorder="1" applyAlignment="1" applyProtection="1"/>
    <xf numFmtId="0" fontId="43" fillId="0" borderId="22" xfId="0" applyFont="1" applyBorder="1" applyAlignment="1">
      <alignment horizontal="center"/>
    </xf>
    <xf numFmtId="0" fontId="43" fillId="0" borderId="23" xfId="0" applyFont="1" applyBorder="1" applyAlignment="1">
      <alignment horizontal="center"/>
    </xf>
    <xf numFmtId="3" fontId="43" fillId="0" borderId="24" xfId="0" applyNumberFormat="1" applyFont="1" applyBorder="1" applyAlignment="1">
      <alignment horizontal="center"/>
    </xf>
    <xf numFmtId="0" fontId="43" fillId="0" borderId="24" xfId="0" applyFont="1" applyBorder="1" applyAlignment="1">
      <alignment horizontal="center"/>
    </xf>
    <xf numFmtId="0" fontId="43" fillId="24" borderId="0" xfId="0" applyFont="1" applyFill="1" applyAlignment="1">
      <alignment horizontal="center"/>
    </xf>
    <xf numFmtId="0" fontId="43" fillId="24" borderId="0" xfId="0" applyFont="1" applyFill="1" applyAlignment="1">
      <alignment horizontal="center" wrapText="1"/>
    </xf>
    <xf numFmtId="0" fontId="43" fillId="0" borderId="0" xfId="0" applyFont="1" applyAlignment="1">
      <alignment horizontal="center"/>
    </xf>
    <xf numFmtId="0" fontId="44" fillId="0" borderId="28" xfId="0" applyFont="1" applyBorder="1"/>
    <xf numFmtId="0" fontId="44" fillId="0" borderId="29" xfId="0" applyFont="1" applyBorder="1"/>
    <xf numFmtId="3" fontId="37" fillId="22" borderId="13" xfId="0" applyNumberFormat="1" applyFont="1" applyFill="1" applyBorder="1"/>
    <xf numFmtId="3" fontId="37" fillId="27" borderId="13" xfId="0" applyNumberFormat="1" applyFont="1" applyFill="1" applyBorder="1"/>
    <xf numFmtId="3" fontId="37" fillId="28" borderId="13" xfId="0" applyNumberFormat="1" applyFont="1" applyFill="1" applyBorder="1"/>
    <xf numFmtId="0" fontId="37" fillId="6" borderId="13" xfId="0" applyFont="1" applyFill="1" applyBorder="1"/>
    <xf numFmtId="174" fontId="37" fillId="0" borderId="13" xfId="0" applyNumberFormat="1" applyFont="1" applyBorder="1" applyAlignment="1">
      <alignment horizontal="center"/>
    </xf>
    <xf numFmtId="175" fontId="37" fillId="0" borderId="13" xfId="0" applyNumberFormat="1" applyFont="1" applyBorder="1" applyAlignment="1">
      <alignment horizontal="center"/>
    </xf>
    <xf numFmtId="176" fontId="37" fillId="0" borderId="13" xfId="0" applyNumberFormat="1" applyFont="1" applyBorder="1"/>
    <xf numFmtId="1" fontId="37" fillId="0" borderId="13" xfId="0" applyNumberFormat="1" applyFont="1" applyBorder="1"/>
    <xf numFmtId="0" fontId="37" fillId="24" borderId="0" xfId="0" applyFont="1" applyFill="1"/>
    <xf numFmtId="0" fontId="37" fillId="0" borderId="0" xfId="0" applyFont="1"/>
    <xf numFmtId="0" fontId="43" fillId="0" borderId="30" xfId="0" applyFont="1" applyBorder="1" applyAlignment="1">
      <alignment horizontal="right"/>
    </xf>
    <xf numFmtId="0" fontId="43" fillId="0" borderId="31" xfId="0" applyFont="1" applyBorder="1"/>
    <xf numFmtId="3" fontId="43" fillId="0" borderId="32" xfId="0" applyNumberFormat="1" applyFont="1" applyBorder="1" applyAlignment="1">
      <alignment horizontal="right"/>
    </xf>
    <xf numFmtId="3" fontId="43" fillId="0" borderId="32" xfId="0" applyNumberFormat="1" applyFont="1" applyBorder="1"/>
    <xf numFmtId="0" fontId="43" fillId="0" borderId="32" xfId="0" applyFont="1" applyBorder="1"/>
    <xf numFmtId="3" fontId="43" fillId="0" borderId="32" xfId="0" applyNumberFormat="1" applyFont="1" applyFill="1" applyBorder="1"/>
    <xf numFmtId="0" fontId="43" fillId="24" borderId="0" xfId="0" applyFont="1" applyFill="1"/>
    <xf numFmtId="0" fontId="43" fillId="0" borderId="0" xfId="0" applyFont="1"/>
    <xf numFmtId="3" fontId="45" fillId="24" borderId="0" xfId="0" applyNumberFormat="1" applyFont="1" applyFill="1" applyAlignment="1">
      <alignment horizontal="right"/>
    </xf>
    <xf numFmtId="3" fontId="0" fillId="24" borderId="0" xfId="0" applyNumberFormat="1" applyFill="1" applyAlignment="1">
      <alignment horizontal="center"/>
    </xf>
    <xf numFmtId="4" fontId="0" fillId="0" borderId="0" xfId="0" applyNumberFormat="1"/>
    <xf numFmtId="4" fontId="0" fillId="24" borderId="0" xfId="0" applyNumberFormat="1" applyFill="1"/>
    <xf numFmtId="0" fontId="25" fillId="24" borderId="0" xfId="0" applyFont="1" applyFill="1" applyAlignment="1">
      <alignment horizontal="center"/>
    </xf>
    <xf numFmtId="0" fontId="25" fillId="0" borderId="22" xfId="0" applyFont="1" applyBorder="1" applyAlignment="1">
      <alignment horizontal="center"/>
    </xf>
    <xf numFmtId="0" fontId="25" fillId="0" borderId="23" xfId="0" applyFont="1" applyBorder="1" applyAlignment="1">
      <alignment horizontal="center"/>
    </xf>
    <xf numFmtId="0" fontId="25" fillId="0" borderId="24" xfId="0" applyFont="1" applyBorder="1" applyAlignment="1">
      <alignment horizontal="center"/>
    </xf>
    <xf numFmtId="0" fontId="25" fillId="24" borderId="0" xfId="0" applyFont="1" applyFill="1" applyAlignment="1">
      <alignment horizontal="center" wrapText="1"/>
    </xf>
    <xf numFmtId="0" fontId="25" fillId="0" borderId="0" xfId="0" applyFont="1" applyAlignment="1">
      <alignment horizontal="center"/>
    </xf>
    <xf numFmtId="3" fontId="25" fillId="0" borderId="13" xfId="0" applyNumberFormat="1" applyFont="1" applyBorder="1" applyAlignment="1">
      <alignment horizontal="center" wrapText="1"/>
    </xf>
    <xf numFmtId="0" fontId="25" fillId="0" borderId="13" xfId="0" applyFont="1" applyBorder="1" applyAlignment="1">
      <alignment horizontal="center" wrapText="1"/>
    </xf>
    <xf numFmtId="0" fontId="25" fillId="0" borderId="13" xfId="0" applyFont="1" applyFill="1" applyBorder="1" applyAlignment="1">
      <alignment horizontal="center" wrapText="1"/>
    </xf>
    <xf numFmtId="4" fontId="25" fillId="0" borderId="13" xfId="0" applyNumberFormat="1" applyFont="1" applyFill="1" applyBorder="1" applyAlignment="1">
      <alignment horizontal="center" wrapText="1"/>
    </xf>
    <xf numFmtId="4" fontId="25" fillId="0" borderId="38" xfId="0" applyNumberFormat="1" applyFont="1" applyFill="1" applyBorder="1" applyAlignment="1">
      <alignment horizontal="center" wrapText="1"/>
    </xf>
    <xf numFmtId="0" fontId="25" fillId="0" borderId="28" xfId="0" applyFont="1" applyBorder="1"/>
    <xf numFmtId="0" fontId="25" fillId="0" borderId="29" xfId="0" applyFont="1" applyBorder="1"/>
    <xf numFmtId="3" fontId="16" fillId="27" borderId="13" xfId="0" applyNumberFormat="1" applyFont="1" applyFill="1" applyBorder="1"/>
    <xf numFmtId="0" fontId="16" fillId="22" borderId="13" xfId="0" applyFont="1" applyFill="1" applyBorder="1"/>
    <xf numFmtId="4" fontId="16" fillId="6" borderId="13" xfId="0" applyNumberFormat="1" applyFont="1" applyFill="1" applyBorder="1"/>
    <xf numFmtId="4" fontId="16" fillId="6" borderId="38" xfId="0" applyNumberFormat="1" applyFont="1" applyFill="1" applyBorder="1"/>
    <xf numFmtId="0" fontId="16" fillId="24" borderId="13" xfId="0" applyFont="1" applyFill="1" applyBorder="1" applyAlignment="1">
      <alignment horizontal="center"/>
    </xf>
    <xf numFmtId="0" fontId="16" fillId="0" borderId="28" xfId="0" applyFont="1" applyBorder="1"/>
    <xf numFmtId="0" fontId="16" fillId="0" borderId="29" xfId="0" applyFont="1" applyBorder="1"/>
    <xf numFmtId="0" fontId="16" fillId="26" borderId="39" xfId="0" applyFont="1" applyFill="1" applyBorder="1"/>
    <xf numFmtId="0" fontId="16" fillId="0" borderId="40" xfId="0" applyFont="1" applyBorder="1"/>
    <xf numFmtId="3" fontId="16" fillId="22" borderId="16" xfId="0" applyNumberFormat="1" applyFont="1" applyFill="1" applyBorder="1"/>
    <xf numFmtId="3" fontId="16" fillId="27" borderId="16" xfId="0" applyNumberFormat="1" applyFont="1" applyFill="1" applyBorder="1"/>
    <xf numFmtId="3" fontId="16" fillId="28" borderId="16" xfId="0" applyNumberFormat="1" applyFont="1" applyFill="1" applyBorder="1"/>
    <xf numFmtId="0" fontId="16" fillId="22" borderId="16" xfId="0" applyFont="1" applyFill="1" applyBorder="1"/>
    <xf numFmtId="0" fontId="25" fillId="0" borderId="41" xfId="0" applyFont="1" applyBorder="1" applyAlignment="1">
      <alignment horizontal="right"/>
    </xf>
    <xf numFmtId="0" fontId="25" fillId="0" borderId="42" xfId="0" applyFont="1" applyBorder="1"/>
    <xf numFmtId="3" fontId="25" fillId="0" borderId="43" xfId="0" applyNumberFormat="1" applyFont="1" applyBorder="1" applyAlignment="1">
      <alignment horizontal="right"/>
    </xf>
    <xf numFmtId="3" fontId="25" fillId="0" borderId="43" xfId="0" applyNumberFormat="1" applyFont="1" applyBorder="1"/>
    <xf numFmtId="0" fontId="25" fillId="0" borderId="43" xfId="0" applyFont="1" applyBorder="1"/>
    <xf numFmtId="4" fontId="25" fillId="0" borderId="43" xfId="0" applyNumberFormat="1" applyFont="1" applyBorder="1"/>
    <xf numFmtId="4" fontId="25" fillId="0" borderId="44" xfId="0" applyNumberFormat="1" applyFont="1" applyBorder="1"/>
    <xf numFmtId="0" fontId="25" fillId="24" borderId="0" xfId="0" applyFont="1" applyFill="1" applyAlignment="1">
      <alignment wrapText="1"/>
    </xf>
    <xf numFmtId="0" fontId="25" fillId="0" borderId="0" xfId="0" applyFont="1"/>
    <xf numFmtId="0" fontId="25" fillId="0" borderId="0" xfId="0" applyFont="1" applyBorder="1"/>
    <xf numFmtId="3" fontId="25" fillId="0" borderId="0" xfId="0" applyNumberFormat="1" applyFont="1" applyBorder="1" applyAlignment="1">
      <alignment horizontal="right"/>
    </xf>
    <xf numFmtId="3" fontId="25" fillId="0" borderId="0" xfId="0" applyNumberFormat="1" applyFont="1" applyBorder="1"/>
    <xf numFmtId="4" fontId="25" fillId="0" borderId="0" xfId="0" applyNumberFormat="1" applyFont="1" applyBorder="1"/>
    <xf numFmtId="0" fontId="25" fillId="0" borderId="22" xfId="0" applyFont="1" applyBorder="1" applyAlignment="1">
      <alignment horizontal="center" wrapText="1"/>
    </xf>
    <xf numFmtId="0" fontId="25" fillId="0" borderId="23" xfId="0" applyFont="1" applyBorder="1" applyAlignment="1">
      <alignment horizontal="center" wrapText="1"/>
    </xf>
    <xf numFmtId="3" fontId="25" fillId="0" borderId="24" xfId="0" applyNumberFormat="1" applyFont="1" applyFill="1" applyBorder="1" applyAlignment="1">
      <alignment horizontal="center" wrapText="1"/>
    </xf>
    <xf numFmtId="0" fontId="25" fillId="0" borderId="24" xfId="0" applyFont="1" applyFill="1" applyBorder="1" applyAlignment="1">
      <alignment horizontal="center" wrapText="1"/>
    </xf>
    <xf numFmtId="4" fontId="25" fillId="0" borderId="25" xfId="0" applyNumberFormat="1" applyFont="1" applyFill="1" applyBorder="1" applyAlignment="1">
      <alignment horizontal="center" wrapText="1"/>
    </xf>
    <xf numFmtId="0" fontId="25" fillId="0" borderId="0" xfId="0" applyFont="1" applyAlignment="1">
      <alignment horizontal="center" wrapText="1"/>
    </xf>
    <xf numFmtId="0" fontId="16" fillId="6" borderId="13" xfId="0" applyFont="1" applyFill="1" applyBorder="1"/>
    <xf numFmtId="4" fontId="16" fillId="6" borderId="26" xfId="0" applyNumberFormat="1" applyFont="1" applyFill="1" applyBorder="1"/>
    <xf numFmtId="0" fontId="25" fillId="0" borderId="40" xfId="0" applyFont="1" applyBorder="1"/>
    <xf numFmtId="0" fontId="16" fillId="0" borderId="42" xfId="0" applyFont="1" applyBorder="1"/>
    <xf numFmtId="3" fontId="16" fillId="0" borderId="43" xfId="0" applyNumberFormat="1" applyFont="1" applyFill="1" applyBorder="1"/>
    <xf numFmtId="0" fontId="16" fillId="6" borderId="43" xfId="0" applyFont="1" applyFill="1" applyBorder="1"/>
    <xf numFmtId="4" fontId="16" fillId="6" borderId="44" xfId="0" applyNumberFormat="1" applyFont="1" applyFill="1" applyBorder="1"/>
    <xf numFmtId="4" fontId="16" fillId="0" borderId="38" xfId="0" applyNumberFormat="1" applyFont="1" applyBorder="1"/>
    <xf numFmtId="0" fontId="32" fillId="0" borderId="22" xfId="0" applyFont="1" applyBorder="1" applyAlignment="1">
      <alignment horizontal="center"/>
    </xf>
    <xf numFmtId="0" fontId="32" fillId="0" borderId="45" xfId="0" applyFont="1" applyBorder="1" applyAlignment="1">
      <alignment horizontal="center"/>
    </xf>
    <xf numFmtId="0" fontId="32" fillId="0" borderId="46" xfId="0" applyFont="1" applyBorder="1" applyAlignment="1">
      <alignment horizontal="center"/>
    </xf>
    <xf numFmtId="3" fontId="32" fillId="0" borderId="47" xfId="0" applyNumberFormat="1" applyFont="1" applyBorder="1" applyAlignment="1">
      <alignment horizontal="center"/>
    </xf>
    <xf numFmtId="3" fontId="32" fillId="0" borderId="22" xfId="0" applyNumberFormat="1" applyFont="1" applyBorder="1" applyAlignment="1">
      <alignment horizontal="center"/>
    </xf>
    <xf numFmtId="4" fontId="32" fillId="0" borderId="23" xfId="0" applyNumberFormat="1" applyFont="1" applyBorder="1" applyAlignment="1">
      <alignment horizontal="center"/>
    </xf>
    <xf numFmtId="4" fontId="32" fillId="0" borderId="25" xfId="0" applyNumberFormat="1" applyFont="1" applyBorder="1" applyAlignment="1">
      <alignment horizontal="center"/>
    </xf>
    <xf numFmtId="0" fontId="33" fillId="24" borderId="0" xfId="0" applyFont="1" applyFill="1" applyAlignment="1">
      <alignment horizontal="center" wrapText="1"/>
    </xf>
    <xf numFmtId="3" fontId="16" fillId="24" borderId="0" xfId="0" applyNumberFormat="1" applyFont="1" applyFill="1" applyAlignment="1">
      <alignment wrapText="1"/>
    </xf>
    <xf numFmtId="3" fontId="32" fillId="0" borderId="38" xfId="0" applyNumberFormat="1" applyFont="1" applyBorder="1" applyAlignment="1">
      <alignment horizontal="center" wrapText="1"/>
    </xf>
    <xf numFmtId="3" fontId="32" fillId="0" borderId="28" xfId="0" applyNumberFormat="1" applyFont="1" applyBorder="1" applyAlignment="1">
      <alignment horizontal="center" wrapText="1"/>
    </xf>
    <xf numFmtId="4" fontId="32" fillId="0" borderId="29" xfId="0" applyNumberFormat="1" applyFont="1" applyBorder="1" applyAlignment="1">
      <alignment horizontal="center" wrapText="1"/>
    </xf>
    <xf numFmtId="0" fontId="33" fillId="0" borderId="0" xfId="0" applyFont="1" applyAlignment="1">
      <alignment horizontal="center" wrapText="1"/>
    </xf>
    <xf numFmtId="3" fontId="36" fillId="22" borderId="38" xfId="0" applyNumberFormat="1" applyFont="1" applyFill="1" applyBorder="1"/>
    <xf numFmtId="3" fontId="36" fillId="27" borderId="28" xfId="0" applyNumberFormat="1" applyFont="1" applyFill="1" applyBorder="1"/>
    <xf numFmtId="3" fontId="36" fillId="28" borderId="28" xfId="0" applyNumberFormat="1" applyFont="1" applyFill="1" applyBorder="1"/>
    <xf numFmtId="4" fontId="36" fillId="6" borderId="29" xfId="0" applyNumberFormat="1" applyFont="1" applyFill="1" applyBorder="1"/>
    <xf numFmtId="0" fontId="36" fillId="26" borderId="39" xfId="0" applyFont="1" applyFill="1" applyBorder="1"/>
    <xf numFmtId="0" fontId="36" fillId="0" borderId="40" xfId="0" applyFont="1" applyBorder="1"/>
    <xf numFmtId="3" fontId="36" fillId="22" borderId="16" xfId="0" applyNumberFormat="1" applyFont="1" applyFill="1" applyBorder="1"/>
    <xf numFmtId="3" fontId="36" fillId="27" borderId="16" xfId="0" applyNumberFormat="1" applyFont="1" applyFill="1" applyBorder="1"/>
    <xf numFmtId="3" fontId="36" fillId="28" borderId="16" xfId="0" applyNumberFormat="1" applyFont="1" applyFill="1" applyBorder="1"/>
    <xf numFmtId="0" fontId="32" fillId="0" borderId="41" xfId="0" applyFont="1" applyBorder="1" applyAlignment="1">
      <alignment horizontal="right"/>
    </xf>
    <xf numFmtId="0" fontId="32" fillId="0" borderId="42" xfId="0" applyFont="1" applyBorder="1"/>
    <xf numFmtId="3" fontId="32" fillId="0" borderId="43" xfId="0" applyNumberFormat="1" applyFont="1" applyBorder="1" applyAlignment="1">
      <alignment horizontal="right"/>
    </xf>
    <xf numFmtId="3" fontId="32" fillId="0" borderId="43" xfId="0" applyNumberFormat="1" applyFont="1" applyBorder="1"/>
    <xf numFmtId="3" fontId="32" fillId="0" borderId="44" xfId="0" applyNumberFormat="1" applyFont="1" applyBorder="1"/>
    <xf numFmtId="0" fontId="32" fillId="0" borderId="30" xfId="0" applyFont="1" applyBorder="1"/>
    <xf numFmtId="0" fontId="32" fillId="0" borderId="31" xfId="0" applyFont="1" applyBorder="1"/>
    <xf numFmtId="3" fontId="32" fillId="0" borderId="48" xfId="0" applyNumberFormat="1" applyFont="1" applyBorder="1"/>
    <xf numFmtId="3" fontId="32" fillId="0" borderId="30" xfId="0" applyNumberFormat="1" applyFont="1" applyBorder="1"/>
    <xf numFmtId="4" fontId="34" fillId="0" borderId="31" xfId="0" applyNumberFormat="1" applyFont="1" applyBorder="1"/>
    <xf numFmtId="4" fontId="34" fillId="0" borderId="33" xfId="0" applyNumberFormat="1" applyFont="1" applyBorder="1"/>
    <xf numFmtId="3" fontId="27" fillId="24" borderId="0" xfId="0" applyNumberFormat="1" applyFont="1" applyFill="1"/>
    <xf numFmtId="0" fontId="28" fillId="24" borderId="0" xfId="0" applyFont="1" applyFill="1" applyAlignment="1">
      <alignment horizontal="center"/>
    </xf>
    <xf numFmtId="0" fontId="0" fillId="24" borderId="0" xfId="0" applyFill="1" applyBorder="1"/>
    <xf numFmtId="0" fontId="17" fillId="0" borderId="0" xfId="0" applyFont="1" applyFill="1" applyBorder="1" applyAlignment="1">
      <alignment horizontal="center"/>
    </xf>
    <xf numFmtId="0" fontId="19" fillId="24" borderId="0" xfId="0" applyFont="1" applyFill="1" applyBorder="1"/>
    <xf numFmtId="0" fontId="28" fillId="24" borderId="0" xfId="0" applyFont="1" applyFill="1" applyAlignment="1">
      <alignment horizontal="right"/>
    </xf>
    <xf numFmtId="0" fontId="19" fillId="24" borderId="0" xfId="0" applyFont="1" applyFill="1" applyBorder="1" applyAlignment="1">
      <alignment horizontal="left"/>
    </xf>
    <xf numFmtId="0" fontId="19" fillId="0" borderId="0" xfId="0" applyFont="1" applyBorder="1" applyAlignment="1">
      <alignment horizontal="right"/>
    </xf>
    <xf numFmtId="0" fontId="19" fillId="0" borderId="0" xfId="0" applyFont="1" applyBorder="1" applyAlignment="1">
      <alignment horizontal="left"/>
    </xf>
    <xf numFmtId="0" fontId="20" fillId="24" borderId="0" xfId="0" applyFont="1" applyFill="1" applyBorder="1" applyAlignment="1">
      <alignment horizontal="center" wrapText="1"/>
    </xf>
    <xf numFmtId="0" fontId="20" fillId="24" borderId="41" xfId="0" applyFont="1" applyFill="1" applyBorder="1" applyAlignment="1">
      <alignment horizontal="center" wrapText="1"/>
    </xf>
    <xf numFmtId="0" fontId="20" fillId="24" borderId="43" xfId="0" applyFont="1" applyFill="1" applyBorder="1" applyAlignment="1">
      <alignment horizontal="center" wrapText="1"/>
    </xf>
    <xf numFmtId="0" fontId="20" fillId="24" borderId="49" xfId="0" applyFont="1" applyFill="1" applyBorder="1" applyAlignment="1">
      <alignment horizontal="center" wrapText="1"/>
    </xf>
    <xf numFmtId="0" fontId="20" fillId="24" borderId="13" xfId="0" applyFont="1" applyFill="1" applyBorder="1" applyAlignment="1">
      <alignment horizontal="center" wrapText="1"/>
    </xf>
    <xf numFmtId="0" fontId="20" fillId="24" borderId="0" xfId="0" applyFont="1" applyFill="1" applyAlignment="1">
      <alignment horizontal="center" wrapText="1"/>
    </xf>
    <xf numFmtId="0" fontId="20" fillId="0" borderId="0" xfId="0" applyFont="1" applyAlignment="1">
      <alignment horizontal="center" wrapText="1"/>
    </xf>
    <xf numFmtId="0" fontId="19" fillId="0" borderId="50" xfId="0" applyFont="1" applyBorder="1" applyAlignment="1">
      <alignment horizontal="left"/>
    </xf>
    <xf numFmtId="0" fontId="19" fillId="24" borderId="51" xfId="0" applyFont="1" applyFill="1" applyBorder="1"/>
    <xf numFmtId="3" fontId="19" fillId="28" borderId="13" xfId="0" applyNumberFormat="1" applyFont="1" applyFill="1" applyBorder="1" applyAlignment="1">
      <alignment horizontal="center"/>
    </xf>
    <xf numFmtId="0" fontId="19" fillId="24" borderId="13" xfId="0" applyFont="1" applyFill="1" applyBorder="1"/>
    <xf numFmtId="0" fontId="19" fillId="0" borderId="39" xfId="0" applyFont="1" applyBorder="1" applyAlignment="1">
      <alignment horizontal="left"/>
    </xf>
    <xf numFmtId="0" fontId="19" fillId="24" borderId="16" xfId="0" applyFont="1" applyFill="1" applyBorder="1"/>
    <xf numFmtId="0" fontId="19" fillId="22" borderId="16" xfId="0" applyFont="1" applyFill="1" applyBorder="1" applyAlignment="1">
      <alignment horizontal="center"/>
    </xf>
    <xf numFmtId="0" fontId="19" fillId="26" borderId="28" xfId="0" applyFont="1" applyFill="1" applyBorder="1"/>
    <xf numFmtId="0" fontId="19" fillId="24" borderId="16" xfId="0" applyFont="1" applyFill="1" applyBorder="1" applyAlignment="1">
      <alignment horizontal="left"/>
    </xf>
    <xf numFmtId="0" fontId="20" fillId="24" borderId="41" xfId="0" applyFont="1" applyFill="1" applyBorder="1" applyAlignment="1">
      <alignment horizontal="right"/>
    </xf>
    <xf numFmtId="0" fontId="20" fillId="24" borderId="43" xfId="0" applyFont="1" applyFill="1" applyBorder="1" applyAlignment="1">
      <alignment horizontal="right"/>
    </xf>
    <xf numFmtId="0" fontId="20" fillId="0" borderId="43" xfId="0" applyFont="1" applyFill="1" applyBorder="1" applyAlignment="1">
      <alignment horizontal="center"/>
    </xf>
    <xf numFmtId="3" fontId="20" fillId="24" borderId="52" xfId="0" applyNumberFormat="1" applyFont="1" applyFill="1" applyBorder="1" applyAlignment="1">
      <alignment horizontal="center"/>
    </xf>
    <xf numFmtId="0" fontId="19" fillId="24" borderId="0" xfId="0" applyFont="1" applyFill="1" applyBorder="1" applyAlignment="1">
      <alignment horizontal="right"/>
    </xf>
    <xf numFmtId="3" fontId="28" fillId="24" borderId="43" xfId="0" applyNumberFormat="1" applyFont="1" applyFill="1" applyBorder="1" applyAlignment="1">
      <alignment horizontal="center" wrapText="1"/>
    </xf>
    <xf numFmtId="0" fontId="28" fillId="24" borderId="43" xfId="0" applyFont="1" applyFill="1" applyBorder="1" applyAlignment="1">
      <alignment horizontal="center" wrapText="1"/>
    </xf>
    <xf numFmtId="3" fontId="21" fillId="22" borderId="53" xfId="0" applyNumberFormat="1" applyFont="1" applyFill="1" applyBorder="1" applyAlignment="1">
      <alignment horizontal="center"/>
    </xf>
    <xf numFmtId="4" fontId="21" fillId="24" borderId="53" xfId="0" applyNumberFormat="1" applyFont="1" applyFill="1" applyBorder="1" applyAlignment="1">
      <alignment horizontal="center"/>
    </xf>
    <xf numFmtId="3" fontId="21" fillId="22" borderId="32" xfId="0" applyNumberFormat="1" applyFont="1" applyFill="1" applyBorder="1" applyAlignment="1">
      <alignment horizontal="center"/>
    </xf>
    <xf numFmtId="4" fontId="21" fillId="24" borderId="32" xfId="0" applyNumberFormat="1" applyFont="1" applyFill="1" applyBorder="1" applyAlignment="1">
      <alignment horizontal="center"/>
    </xf>
    <xf numFmtId="0" fontId="21" fillId="24" borderId="0" xfId="0" applyFont="1" applyFill="1" applyBorder="1" applyAlignment="1">
      <alignment horizontal="right"/>
    </xf>
    <xf numFmtId="4" fontId="21" fillId="24" borderId="0" xfId="0" applyNumberFormat="1" applyFont="1" applyFill="1" applyBorder="1" applyAlignment="1">
      <alignment horizontal="center"/>
    </xf>
    <xf numFmtId="0" fontId="19" fillId="24" borderId="0" xfId="0" applyFont="1" applyFill="1" applyBorder="1" applyAlignment="1"/>
    <xf numFmtId="3" fontId="19" fillId="24" borderId="0" xfId="0" applyNumberFormat="1" applyFont="1" applyFill="1" applyAlignment="1">
      <alignment horizontal="right"/>
    </xf>
    <xf numFmtId="3" fontId="19" fillId="24" borderId="0" xfId="0" applyNumberFormat="1" applyFont="1" applyFill="1" applyBorder="1" applyAlignment="1">
      <alignment horizontal="right" wrapText="1"/>
    </xf>
    <xf numFmtId="0" fontId="47" fillId="0" borderId="0" xfId="0" applyFont="1"/>
    <xf numFmtId="0" fontId="48" fillId="24" borderId="0" xfId="0" applyFont="1" applyFill="1" applyAlignment="1">
      <alignment horizontal="right"/>
    </xf>
    <xf numFmtId="0" fontId="49" fillId="24" borderId="0" xfId="0" applyFont="1" applyFill="1" applyAlignment="1">
      <alignment horizontal="left"/>
    </xf>
    <xf numFmtId="3" fontId="47" fillId="0" borderId="0" xfId="0" applyNumberFormat="1" applyFont="1"/>
    <xf numFmtId="0" fontId="47" fillId="24" borderId="0" xfId="0" applyFont="1" applyFill="1"/>
    <xf numFmtId="3" fontId="47" fillId="24" borderId="0" xfId="0" applyNumberFormat="1" applyFont="1" applyFill="1"/>
    <xf numFmtId="0" fontId="50" fillId="24" borderId="0" xfId="0" applyFont="1" applyFill="1" applyAlignment="1">
      <alignment horizontal="center"/>
    </xf>
    <xf numFmtId="0" fontId="45" fillId="24" borderId="0" xfId="0" applyFont="1" applyFill="1"/>
    <xf numFmtId="0" fontId="0" fillId="24" borderId="0" xfId="0" applyFill="1" applyAlignment="1">
      <alignment horizontal="center"/>
    </xf>
    <xf numFmtId="0" fontId="45" fillId="0" borderId="41" xfId="0" applyFont="1" applyBorder="1" applyAlignment="1">
      <alignment horizontal="center"/>
    </xf>
    <xf numFmtId="3" fontId="45" fillId="0" borderId="43" xfId="0" applyNumberFormat="1" applyFont="1" applyBorder="1" applyAlignment="1">
      <alignment horizontal="center"/>
    </xf>
    <xf numFmtId="3" fontId="45" fillId="0" borderId="44" xfId="0" applyNumberFormat="1" applyFont="1" applyBorder="1" applyAlignment="1">
      <alignment horizontal="center"/>
    </xf>
    <xf numFmtId="0" fontId="0" fillId="0" borderId="0" xfId="0" applyAlignment="1">
      <alignment horizontal="center"/>
    </xf>
    <xf numFmtId="0" fontId="45" fillId="0" borderId="54" xfId="0" applyFont="1" applyBorder="1" applyAlignment="1">
      <alignment horizontal="right"/>
    </xf>
    <xf numFmtId="3" fontId="0" fillId="27" borderId="53" xfId="0" applyNumberFormat="1" applyFill="1" applyBorder="1"/>
    <xf numFmtId="3" fontId="0" fillId="28" borderId="55" xfId="0" applyNumberFormat="1" applyFill="1" applyBorder="1"/>
    <xf numFmtId="0" fontId="45" fillId="0" borderId="28" xfId="0" applyFont="1" applyBorder="1" applyAlignment="1">
      <alignment horizontal="right"/>
    </xf>
    <xf numFmtId="3" fontId="0" fillId="27" borderId="13" xfId="0" applyNumberFormat="1" applyFill="1" applyBorder="1"/>
    <xf numFmtId="3" fontId="0" fillId="28" borderId="26" xfId="0" applyNumberFormat="1" applyFill="1" applyBorder="1"/>
    <xf numFmtId="3" fontId="0" fillId="27" borderId="16" xfId="0" applyNumberFormat="1" applyFont="1" applyFill="1" applyBorder="1" applyAlignment="1">
      <alignment horizontal="right"/>
    </xf>
    <xf numFmtId="0" fontId="45" fillId="0" borderId="56" xfId="0" applyFont="1" applyBorder="1" applyAlignment="1">
      <alignment horizontal="left"/>
    </xf>
    <xf numFmtId="3" fontId="0" fillId="27" borderId="13" xfId="0" applyNumberFormat="1" applyFont="1" applyFill="1" applyBorder="1" applyAlignment="1">
      <alignment horizontal="right"/>
    </xf>
    <xf numFmtId="3" fontId="0" fillId="28" borderId="13" xfId="0" applyNumberFormat="1" applyFill="1" applyBorder="1"/>
    <xf numFmtId="0" fontId="45" fillId="0" borderId="56" xfId="0" applyFont="1" applyBorder="1"/>
    <xf numFmtId="3" fontId="0" fillId="27" borderId="32" xfId="0" applyNumberFormat="1" applyFill="1" applyBorder="1"/>
    <xf numFmtId="3" fontId="0" fillId="28" borderId="16" xfId="0" applyNumberFormat="1" applyFill="1" applyBorder="1"/>
    <xf numFmtId="0" fontId="45" fillId="0" borderId="41" xfId="0" applyFont="1" applyBorder="1"/>
    <xf numFmtId="3" fontId="45" fillId="27" borderId="57" xfId="0" applyNumberFormat="1" applyFont="1" applyFill="1" applyBorder="1"/>
    <xf numFmtId="3" fontId="45" fillId="28" borderId="44" xfId="0" applyNumberFormat="1" applyFont="1" applyFill="1" applyBorder="1"/>
    <xf numFmtId="0" fontId="45" fillId="0" borderId="42" xfId="0" applyFont="1" applyBorder="1" applyAlignment="1">
      <alignment horizontal="center" wrapText="1"/>
    </xf>
    <xf numFmtId="3" fontId="45" fillId="0" borderId="43" xfId="0" applyNumberFormat="1" applyFont="1" applyBorder="1" applyAlignment="1">
      <alignment horizontal="center" wrapText="1"/>
    </xf>
    <xf numFmtId="3" fontId="45" fillId="0" borderId="44" xfId="0" applyNumberFormat="1" applyFont="1" applyBorder="1" applyAlignment="1">
      <alignment horizontal="center" wrapText="1"/>
    </xf>
    <xf numFmtId="3" fontId="0" fillId="22" borderId="55" xfId="0" applyNumberFormat="1" applyFont="1" applyFill="1" applyBorder="1"/>
    <xf numFmtId="0" fontId="0" fillId="0" borderId="53" xfId="0" applyFont="1" applyBorder="1" applyAlignment="1">
      <alignment horizontal="center"/>
    </xf>
    <xf numFmtId="3" fontId="0" fillId="27" borderId="58" xfId="0" applyNumberFormat="1" applyFill="1" applyBorder="1"/>
    <xf numFmtId="0" fontId="0" fillId="0" borderId="28" xfId="0" applyFont="1" applyBorder="1" applyAlignment="1">
      <alignment horizontal="right"/>
    </xf>
    <xf numFmtId="3" fontId="0" fillId="22" borderId="13" xfId="0" applyNumberFormat="1" applyFont="1" applyFill="1" applyBorder="1"/>
    <xf numFmtId="0" fontId="0" fillId="0" borderId="29" xfId="0" applyFont="1" applyBorder="1" applyAlignment="1">
      <alignment horizontal="center"/>
    </xf>
    <xf numFmtId="0" fontId="0" fillId="0" borderId="59" xfId="0" applyFont="1" applyBorder="1" applyAlignment="1">
      <alignment horizontal="center"/>
    </xf>
    <xf numFmtId="3" fontId="0" fillId="26" borderId="13" xfId="0" applyNumberFormat="1" applyFill="1" applyBorder="1"/>
    <xf numFmtId="3" fontId="0" fillId="22" borderId="26" xfId="0" applyNumberFormat="1" applyFont="1" applyFill="1" applyBorder="1"/>
    <xf numFmtId="3" fontId="0" fillId="27" borderId="26" xfId="0" applyNumberFormat="1" applyFill="1" applyBorder="1"/>
    <xf numFmtId="0" fontId="0" fillId="0" borderId="39" xfId="0" applyFont="1" applyBorder="1" applyAlignment="1">
      <alignment horizontal="right"/>
    </xf>
    <xf numFmtId="0" fontId="0" fillId="0" borderId="40" xfId="0" applyFont="1" applyBorder="1" applyAlignment="1">
      <alignment horizontal="center"/>
    </xf>
    <xf numFmtId="3" fontId="0" fillId="22" borderId="16" xfId="0" applyNumberFormat="1" applyFont="1" applyFill="1" applyBorder="1"/>
    <xf numFmtId="0" fontId="0" fillId="0" borderId="27" xfId="0" applyFont="1" applyBorder="1" applyAlignment="1">
      <alignment horizontal="center"/>
    </xf>
    <xf numFmtId="3" fontId="0" fillId="27" borderId="16" xfId="0" applyNumberFormat="1" applyFill="1" applyBorder="1"/>
    <xf numFmtId="3" fontId="0" fillId="28" borderId="60" xfId="0" applyNumberFormat="1" applyFill="1" applyBorder="1"/>
    <xf numFmtId="3" fontId="0" fillId="22" borderId="29" xfId="0" applyNumberFormat="1" applyFont="1" applyFill="1" applyBorder="1"/>
    <xf numFmtId="3" fontId="0" fillId="0" borderId="13" xfId="0" applyNumberFormat="1" applyFont="1" applyBorder="1" applyAlignment="1">
      <alignment horizontal="center"/>
    </xf>
    <xf numFmtId="3" fontId="0" fillId="27" borderId="29" xfId="0" applyNumberFormat="1" applyFill="1" applyBorder="1"/>
    <xf numFmtId="0" fontId="0" fillId="0" borderId="42" xfId="0" applyFont="1" applyBorder="1"/>
    <xf numFmtId="0" fontId="45" fillId="0" borderId="42" xfId="0" applyFont="1" applyBorder="1" applyAlignment="1">
      <alignment horizontal="center"/>
    </xf>
    <xf numFmtId="3" fontId="45" fillId="27" borderId="43" xfId="0" applyNumberFormat="1" applyFont="1" applyFill="1" applyBorder="1"/>
    <xf numFmtId="0" fontId="0" fillId="24" borderId="0" xfId="0" applyFont="1" applyFill="1" applyAlignment="1">
      <alignment horizontal="right" vertical="top"/>
    </xf>
    <xf numFmtId="0" fontId="38" fillId="24" borderId="0" xfId="0" applyFont="1" applyFill="1" applyAlignment="1">
      <alignment horizontal="left"/>
    </xf>
    <xf numFmtId="0" fontId="38" fillId="24" borderId="0" xfId="0" applyFont="1" applyFill="1" applyAlignment="1">
      <alignment horizontal="center"/>
    </xf>
    <xf numFmtId="0" fontId="51" fillId="24" borderId="0" xfId="0" applyFont="1" applyFill="1" applyAlignment="1">
      <alignment horizontal="left"/>
    </xf>
    <xf numFmtId="0" fontId="41" fillId="24" borderId="0" xfId="0" applyFont="1" applyFill="1" applyAlignment="1">
      <alignment horizontal="left"/>
    </xf>
    <xf numFmtId="0" fontId="42" fillId="24" borderId="0" xfId="0" applyFont="1" applyFill="1" applyAlignment="1">
      <alignment horizontal="right"/>
    </xf>
    <xf numFmtId="0" fontId="0" fillId="24" borderId="0" xfId="0" applyFill="1" applyAlignment="1">
      <alignment horizontal="center" wrapText="1"/>
    </xf>
    <xf numFmtId="0" fontId="45" fillId="0" borderId="22" xfId="0" applyFont="1" applyBorder="1" applyAlignment="1">
      <alignment horizontal="center" wrapText="1"/>
    </xf>
    <xf numFmtId="0" fontId="45" fillId="0" borderId="24" xfId="0" applyFont="1" applyBorder="1" applyAlignment="1">
      <alignment horizontal="center" wrapText="1"/>
    </xf>
    <xf numFmtId="3" fontId="45" fillId="0" borderId="47" xfId="0" applyNumberFormat="1" applyFont="1" applyBorder="1" applyAlignment="1">
      <alignment horizontal="center" wrapText="1"/>
    </xf>
    <xf numFmtId="0" fontId="43" fillId="24" borderId="13" xfId="0" applyFont="1" applyFill="1" applyBorder="1" applyAlignment="1">
      <alignment horizontal="center" wrapText="1"/>
    </xf>
    <xf numFmtId="0" fontId="43" fillId="24" borderId="0" xfId="0" applyFont="1" applyFill="1" applyBorder="1" applyAlignment="1">
      <alignment horizontal="center" wrapText="1"/>
    </xf>
    <xf numFmtId="0" fontId="0" fillId="0" borderId="0" xfId="0" applyAlignment="1">
      <alignment horizontal="center" wrapText="1"/>
    </xf>
    <xf numFmtId="0" fontId="19" fillId="0" borderId="28" xfId="0" applyFont="1" applyBorder="1"/>
    <xf numFmtId="3" fontId="19" fillId="22" borderId="13" xfId="0" applyNumberFormat="1" applyFont="1" applyFill="1" applyBorder="1"/>
    <xf numFmtId="0" fontId="19" fillId="0" borderId="13" xfId="0" applyFont="1" applyBorder="1" applyAlignment="1">
      <alignment horizontal="center"/>
    </xf>
    <xf numFmtId="3" fontId="19" fillId="5" borderId="13" xfId="0" applyNumberFormat="1" applyFont="1" applyFill="1" applyBorder="1"/>
    <xf numFmtId="3" fontId="19" fillId="28" borderId="13" xfId="0" applyNumberFormat="1" applyFont="1" applyFill="1" applyBorder="1"/>
    <xf numFmtId="1" fontId="19" fillId="28" borderId="13" xfId="0" applyNumberFormat="1" applyFont="1" applyFill="1" applyBorder="1"/>
    <xf numFmtId="0" fontId="19" fillId="0" borderId="39" xfId="0" applyFont="1" applyBorder="1"/>
    <xf numFmtId="0" fontId="19" fillId="0" borderId="16" xfId="0" applyFont="1" applyBorder="1" applyAlignment="1">
      <alignment horizontal="center"/>
    </xf>
    <xf numFmtId="0" fontId="19" fillId="0" borderId="13" xfId="0" applyFont="1" applyBorder="1"/>
    <xf numFmtId="0" fontId="19" fillId="0" borderId="0" xfId="0" applyFont="1" applyBorder="1"/>
    <xf numFmtId="3" fontId="19" fillId="5" borderId="16" xfId="0" applyNumberFormat="1" applyFont="1" applyFill="1" applyBorder="1"/>
    <xf numFmtId="1" fontId="19" fillId="28" borderId="16" xfId="0" applyNumberFormat="1" applyFont="1" applyFill="1" applyBorder="1"/>
    <xf numFmtId="0" fontId="20" fillId="0" borderId="41" xfId="0" applyFont="1" applyBorder="1" applyAlignment="1">
      <alignment horizontal="right"/>
    </xf>
    <xf numFmtId="3" fontId="20" fillId="0" borderId="43" xfId="0" applyNumberFormat="1" applyFont="1" applyBorder="1" applyAlignment="1">
      <alignment horizontal="right"/>
    </xf>
    <xf numFmtId="0" fontId="20" fillId="0" borderId="43" xfId="0" applyFont="1" applyBorder="1" applyAlignment="1">
      <alignment horizontal="center"/>
    </xf>
    <xf numFmtId="3" fontId="20" fillId="0" borderId="43" xfId="0" applyNumberFormat="1" applyFont="1" applyBorder="1"/>
    <xf numFmtId="3" fontId="20" fillId="0" borderId="44" xfId="0" applyNumberFormat="1" applyFont="1" applyBorder="1"/>
    <xf numFmtId="0" fontId="28" fillId="0" borderId="47" xfId="0" applyFont="1" applyBorder="1" applyAlignment="1">
      <alignment horizontal="center" wrapText="1"/>
    </xf>
    <xf numFmtId="0" fontId="28" fillId="0" borderId="25" xfId="0" applyFont="1" applyBorder="1" applyAlignment="1">
      <alignment horizontal="center" wrapText="1"/>
    </xf>
    <xf numFmtId="0" fontId="21" fillId="5" borderId="38" xfId="0" applyFont="1" applyFill="1" applyBorder="1" applyAlignment="1">
      <alignment horizontal="center"/>
    </xf>
    <xf numFmtId="4" fontId="21" fillId="28" borderId="26" xfId="0" applyNumberFormat="1" applyFont="1" applyFill="1" applyBorder="1" applyAlignment="1">
      <alignment horizontal="center"/>
    </xf>
    <xf numFmtId="3" fontId="0" fillId="24" borderId="0" xfId="0" applyNumberFormat="1" applyFont="1" applyFill="1" applyAlignment="1">
      <alignment horizontal="right"/>
    </xf>
    <xf numFmtId="0" fontId="0" fillId="24" borderId="0" xfId="0" applyFill="1" applyBorder="1" applyAlignment="1">
      <alignment horizontal="center" wrapText="1"/>
    </xf>
    <xf numFmtId="0" fontId="0" fillId="24" borderId="0" xfId="0" applyFill="1" applyAlignment="1">
      <alignment horizontal="right"/>
    </xf>
    <xf numFmtId="0" fontId="21" fillId="24" borderId="0" xfId="0" applyFont="1" applyFill="1" applyAlignment="1">
      <alignment horizontal="right" vertical="top"/>
    </xf>
    <xf numFmtId="0" fontId="21" fillId="22" borderId="13" xfId="0" applyFont="1" applyFill="1" applyBorder="1" applyAlignment="1">
      <alignment horizontal="left"/>
    </xf>
    <xf numFmtId="0" fontId="21" fillId="5" borderId="38" xfId="0" applyFont="1" applyFill="1" applyBorder="1" applyAlignment="1">
      <alignment horizontal="left"/>
    </xf>
    <xf numFmtId="4" fontId="21" fillId="28" borderId="26" xfId="0" applyNumberFormat="1" applyFont="1" applyFill="1" applyBorder="1" applyAlignment="1">
      <alignment horizontal="left"/>
    </xf>
    <xf numFmtId="0" fontId="21" fillId="22" borderId="32" xfId="0" applyFont="1" applyFill="1" applyBorder="1" applyAlignment="1">
      <alignment horizontal="left"/>
    </xf>
    <xf numFmtId="3" fontId="19" fillId="24" borderId="13" xfId="0" applyNumberFormat="1" applyFont="1" applyFill="1" applyBorder="1" applyAlignment="1">
      <alignment horizontal="center"/>
    </xf>
    <xf numFmtId="3" fontId="19" fillId="24" borderId="0" xfId="0" applyNumberFormat="1" applyFont="1" applyFill="1"/>
    <xf numFmtId="0" fontId="42" fillId="11" borderId="0" xfId="0" applyFont="1" applyFill="1" applyAlignment="1">
      <alignment horizontal="left"/>
    </xf>
    <xf numFmtId="0" fontId="42" fillId="26" borderId="0" xfId="0" applyFont="1" applyFill="1" applyAlignment="1">
      <alignment horizontal="left"/>
    </xf>
    <xf numFmtId="0" fontId="20" fillId="0" borderId="41" xfId="0" applyFont="1" applyBorder="1" applyAlignment="1">
      <alignment horizontal="center" wrapText="1"/>
    </xf>
    <xf numFmtId="0" fontId="20" fillId="0" borderId="43" xfId="0" applyFont="1" applyBorder="1" applyAlignment="1">
      <alignment horizontal="center" wrapText="1"/>
    </xf>
    <xf numFmtId="0" fontId="20" fillId="0" borderId="44" xfId="0" applyFont="1" applyBorder="1" applyAlignment="1">
      <alignment horizontal="center" wrapText="1"/>
    </xf>
    <xf numFmtId="0" fontId="19" fillId="24" borderId="0" xfId="0" applyFont="1" applyFill="1" applyAlignment="1">
      <alignment horizontal="center" wrapText="1"/>
    </xf>
    <xf numFmtId="0" fontId="19" fillId="0" borderId="53" xfId="0" applyFont="1" applyBorder="1" applyAlignment="1">
      <alignment horizontal="center"/>
    </xf>
    <xf numFmtId="3" fontId="19" fillId="5" borderId="53" xfId="0" applyNumberFormat="1" applyFont="1" applyFill="1" applyBorder="1"/>
    <xf numFmtId="3" fontId="19" fillId="28" borderId="53" xfId="0" applyNumberFormat="1" applyFont="1" applyFill="1" applyBorder="1"/>
    <xf numFmtId="0" fontId="19" fillId="24" borderId="13" xfId="0" applyFont="1" applyFill="1" applyBorder="1" applyAlignment="1">
      <alignment wrapText="1"/>
    </xf>
    <xf numFmtId="0" fontId="19" fillId="0" borderId="13" xfId="0" applyFont="1" applyBorder="1" applyAlignment="1">
      <alignment wrapText="1"/>
    </xf>
    <xf numFmtId="3" fontId="19" fillId="22" borderId="16" xfId="0" applyNumberFormat="1" applyFont="1" applyFill="1" applyBorder="1"/>
    <xf numFmtId="0" fontId="19" fillId="5" borderId="16" xfId="0" applyFont="1" applyFill="1" applyBorder="1" applyAlignment="1">
      <alignment horizontal="center"/>
    </xf>
    <xf numFmtId="0" fontId="19" fillId="24" borderId="0" xfId="0" applyFont="1" applyFill="1" applyBorder="1" applyAlignment="1">
      <alignment wrapText="1"/>
    </xf>
    <xf numFmtId="0" fontId="20" fillId="0" borderId="43" xfId="0" applyFont="1" applyBorder="1"/>
    <xf numFmtId="0" fontId="28" fillId="0" borderId="43" xfId="0" applyFont="1" applyBorder="1" applyAlignment="1">
      <alignment horizontal="center" wrapText="1"/>
    </xf>
    <xf numFmtId="0" fontId="28" fillId="0" borderId="44" xfId="0" applyFont="1" applyBorder="1" applyAlignment="1">
      <alignment horizontal="center" wrapText="1"/>
    </xf>
    <xf numFmtId="0" fontId="21" fillId="22" borderId="53" xfId="0" applyFont="1" applyFill="1" applyBorder="1" applyAlignment="1">
      <alignment horizontal="right"/>
    </xf>
    <xf numFmtId="4" fontId="21" fillId="5" borderId="53" xfId="0" applyNumberFormat="1" applyFont="1" applyFill="1" applyBorder="1" applyAlignment="1">
      <alignment horizontal="right"/>
    </xf>
    <xf numFmtId="4" fontId="21" fillId="28" borderId="55" xfId="0" applyNumberFormat="1" applyFont="1" applyFill="1" applyBorder="1" applyAlignment="1">
      <alignment horizontal="right"/>
    </xf>
    <xf numFmtId="0" fontId="21" fillId="22" borderId="13" xfId="0" applyFont="1" applyFill="1" applyBorder="1" applyAlignment="1">
      <alignment horizontal="right"/>
    </xf>
    <xf numFmtId="4" fontId="21" fillId="28" borderId="26" xfId="0" applyNumberFormat="1" applyFont="1" applyFill="1" applyBorder="1" applyAlignment="1">
      <alignment horizontal="right"/>
    </xf>
    <xf numFmtId="0" fontId="21" fillId="22" borderId="32" xfId="0" applyFont="1" applyFill="1" applyBorder="1" applyAlignment="1">
      <alignment horizontal="right"/>
    </xf>
    <xf numFmtId="4" fontId="21" fillId="4" borderId="53" xfId="0" applyNumberFormat="1" applyFont="1" applyFill="1" applyBorder="1" applyAlignment="1">
      <alignment horizontal="right"/>
    </xf>
    <xf numFmtId="4" fontId="21" fillId="4" borderId="13" xfId="0" applyNumberFormat="1" applyFont="1" applyFill="1" applyBorder="1" applyAlignment="1">
      <alignment horizontal="right"/>
    </xf>
    <xf numFmtId="0" fontId="21" fillId="22" borderId="16" xfId="0" applyFont="1" applyFill="1" applyBorder="1" applyAlignment="1">
      <alignment horizontal="right"/>
    </xf>
    <xf numFmtId="4" fontId="21" fillId="4" borderId="16" xfId="0" applyNumberFormat="1" applyFont="1" applyFill="1" applyBorder="1" applyAlignment="1">
      <alignment horizontal="right"/>
    </xf>
    <xf numFmtId="4" fontId="21" fillId="28" borderId="44" xfId="0" applyNumberFormat="1" applyFont="1" applyFill="1" applyBorder="1" applyAlignment="1">
      <alignment horizontal="right"/>
    </xf>
    <xf numFmtId="0" fontId="0" fillId="24" borderId="13" xfId="0" applyFont="1" applyFill="1" applyBorder="1"/>
    <xf numFmtId="0" fontId="0" fillId="24" borderId="13" xfId="0" applyFill="1" applyBorder="1" applyAlignment="1">
      <alignment horizontal="center"/>
    </xf>
    <xf numFmtId="0" fontId="0" fillId="0" borderId="13" xfId="0" applyFont="1" applyBorder="1"/>
    <xf numFmtId="0" fontId="0" fillId="0" borderId="13" xfId="0" applyBorder="1" applyAlignment="1">
      <alignment horizontal="center"/>
    </xf>
    <xf numFmtId="14" fontId="0" fillId="0" borderId="0" xfId="0" applyNumberFormat="1"/>
    <xf numFmtId="0" fontId="52" fillId="24" borderId="0" xfId="0" applyFont="1" applyFill="1"/>
    <xf numFmtId="0" fontId="51" fillId="24" borderId="0" xfId="0" applyFont="1" applyFill="1"/>
    <xf numFmtId="0" fontId="45" fillId="26" borderId="0" xfId="0" applyFont="1" applyFill="1"/>
    <xf numFmtId="0" fontId="19" fillId="24" borderId="0" xfId="0" applyFont="1" applyFill="1" applyAlignment="1">
      <alignment horizontal="left"/>
    </xf>
    <xf numFmtId="3" fontId="19" fillId="22" borderId="0" xfId="0" applyNumberFormat="1" applyFont="1" applyFill="1"/>
    <xf numFmtId="0" fontId="20" fillId="26" borderId="0" xfId="0" applyFont="1" applyFill="1" applyAlignment="1">
      <alignment horizontal="left"/>
    </xf>
    <xf numFmtId="0" fontId="19" fillId="26" borderId="0" xfId="0" applyFont="1" applyFill="1"/>
    <xf numFmtId="0" fontId="20" fillId="0" borderId="22" xfId="0" applyFont="1" applyBorder="1"/>
    <xf numFmtId="0" fontId="20" fillId="0" borderId="23" xfId="0" applyFont="1" applyBorder="1" applyAlignment="1">
      <alignment horizontal="center" wrapText="1"/>
    </xf>
    <xf numFmtId="0" fontId="20" fillId="0" borderId="24" xfId="0" applyFont="1" applyBorder="1" applyAlignment="1">
      <alignment horizontal="center" wrapText="1"/>
    </xf>
    <xf numFmtId="0" fontId="20" fillId="0" borderId="47" xfId="0" applyFont="1" applyBorder="1" applyAlignment="1">
      <alignment horizontal="center" wrapText="1"/>
    </xf>
    <xf numFmtId="0" fontId="20" fillId="0" borderId="61" xfId="0" applyFont="1" applyBorder="1" applyAlignment="1">
      <alignment horizontal="center" wrapText="1"/>
    </xf>
    <xf numFmtId="0" fontId="20" fillId="0" borderId="45" xfId="0" applyFont="1" applyBorder="1" applyAlignment="1">
      <alignment horizontal="center" wrapText="1"/>
    </xf>
    <xf numFmtId="0" fontId="20" fillId="0" borderId="47" xfId="0" applyFont="1" applyFill="1" applyBorder="1" applyAlignment="1">
      <alignment horizontal="center" wrapText="1"/>
    </xf>
    <xf numFmtId="0" fontId="20" fillId="0" borderId="25" xfId="0" applyFont="1" applyFill="1" applyBorder="1" applyAlignment="1">
      <alignment horizontal="center" wrapText="1"/>
    </xf>
    <xf numFmtId="0" fontId="20" fillId="0" borderId="24" xfId="0" applyFont="1" applyBorder="1" applyAlignment="1">
      <alignment horizontal="center"/>
    </xf>
    <xf numFmtId="0" fontId="20" fillId="0" borderId="47" xfId="0" applyFont="1" applyBorder="1" applyAlignment="1">
      <alignment horizontal="center"/>
    </xf>
    <xf numFmtId="0" fontId="20" fillId="0" borderId="25" xfId="0" applyFont="1" applyBorder="1" applyAlignment="1">
      <alignment horizontal="center"/>
    </xf>
    <xf numFmtId="0" fontId="19" fillId="0" borderId="29" xfId="0" applyFont="1" applyBorder="1" applyAlignment="1">
      <alignment horizontal="center"/>
    </xf>
    <xf numFmtId="3" fontId="19" fillId="28" borderId="38" xfId="0" applyNumberFormat="1" applyFont="1" applyFill="1" applyBorder="1"/>
    <xf numFmtId="3" fontId="20" fillId="28" borderId="62" xfId="0" applyNumberFormat="1" applyFont="1" applyFill="1" applyBorder="1"/>
    <xf numFmtId="3" fontId="19" fillId="5" borderId="29" xfId="0" applyNumberFormat="1" applyFont="1" applyFill="1" applyBorder="1"/>
    <xf numFmtId="3" fontId="19" fillId="0" borderId="38" xfId="0" applyNumberFormat="1" applyFont="1" applyFill="1" applyBorder="1"/>
    <xf numFmtId="3" fontId="19" fillId="0" borderId="26" xfId="0" applyNumberFormat="1" applyFont="1" applyFill="1" applyBorder="1" applyAlignment="1">
      <alignment horizontal="center"/>
    </xf>
    <xf numFmtId="10" fontId="19" fillId="6" borderId="13" xfId="0" applyNumberFormat="1" applyFont="1" applyFill="1" applyBorder="1"/>
    <xf numFmtId="10" fontId="19" fillId="6" borderId="38" xfId="0" applyNumberFormat="1" applyFont="1" applyFill="1" applyBorder="1"/>
    <xf numFmtId="10" fontId="20" fillId="0" borderId="26" xfId="0" applyNumberFormat="1" applyFont="1" applyBorder="1"/>
    <xf numFmtId="9" fontId="19" fillId="3" borderId="29" xfId="39" applyFont="1" applyFill="1" applyBorder="1" applyAlignment="1" applyProtection="1">
      <alignment horizontal="center"/>
    </xf>
    <xf numFmtId="0" fontId="19" fillId="0" borderId="0" xfId="0" applyFont="1" applyFill="1"/>
    <xf numFmtId="9" fontId="19" fillId="5" borderId="40" xfId="39" applyFont="1" applyFill="1" applyBorder="1" applyAlignment="1" applyProtection="1">
      <alignment horizontal="center"/>
    </xf>
    <xf numFmtId="3" fontId="19" fillId="28" borderId="16" xfId="0" applyNumberFormat="1" applyFont="1" applyFill="1" applyBorder="1"/>
    <xf numFmtId="3" fontId="19" fillId="28" borderId="63" xfId="0" applyNumberFormat="1" applyFont="1" applyFill="1" applyBorder="1"/>
    <xf numFmtId="3" fontId="20" fillId="28" borderId="64" xfId="0" applyNumberFormat="1" applyFont="1" applyFill="1" applyBorder="1"/>
    <xf numFmtId="3" fontId="19" fillId="5" borderId="65" xfId="0" applyNumberFormat="1" applyFont="1" applyFill="1" applyBorder="1"/>
    <xf numFmtId="10" fontId="19" fillId="6" borderId="16" xfId="0" applyNumberFormat="1" applyFont="1" applyFill="1" applyBorder="1"/>
    <xf numFmtId="10" fontId="19" fillId="6" borderId="63" xfId="0" applyNumberFormat="1" applyFont="1" applyFill="1" applyBorder="1"/>
    <xf numFmtId="0" fontId="20" fillId="0" borderId="42" xfId="0" applyFont="1" applyBorder="1"/>
    <xf numFmtId="3" fontId="20" fillId="28" borderId="66" xfId="0" applyNumberFormat="1" applyFont="1" applyFill="1" applyBorder="1"/>
    <xf numFmtId="3" fontId="20" fillId="28" borderId="9" xfId="0" applyNumberFormat="1" applyFont="1" applyFill="1" applyBorder="1"/>
    <xf numFmtId="3" fontId="20" fillId="5" borderId="67" xfId="0" applyNumberFormat="1" applyFont="1" applyFill="1" applyBorder="1"/>
    <xf numFmtId="3" fontId="19" fillId="0" borderId="68" xfId="0" applyNumberFormat="1" applyFont="1" applyFill="1" applyBorder="1"/>
    <xf numFmtId="3" fontId="19" fillId="0" borderId="33" xfId="0" applyNumberFormat="1" applyFont="1" applyFill="1" applyBorder="1" applyAlignment="1">
      <alignment horizontal="center"/>
    </xf>
    <xf numFmtId="0" fontId="20" fillId="24" borderId="0" xfId="0" applyFont="1" applyFill="1" applyBorder="1"/>
    <xf numFmtId="0" fontId="20" fillId="0" borderId="30" xfId="0" applyFont="1" applyBorder="1"/>
    <xf numFmtId="10" fontId="20" fillId="0" borderId="32" xfId="0" applyNumberFormat="1" applyFont="1" applyBorder="1"/>
    <xf numFmtId="10" fontId="20" fillId="0" borderId="33" xfId="0" applyNumberFormat="1" applyFont="1" applyBorder="1"/>
    <xf numFmtId="0" fontId="19" fillId="3" borderId="0" xfId="0" applyFont="1" applyFill="1"/>
    <xf numFmtId="0" fontId="22" fillId="24" borderId="0" xfId="0" applyFont="1" applyFill="1"/>
    <xf numFmtId="0" fontId="19" fillId="5" borderId="0" xfId="0" applyFont="1" applyFill="1"/>
    <xf numFmtId="0" fontId="19" fillId="24" borderId="0" xfId="0" applyFont="1" applyFill="1" applyBorder="1" applyAlignment="1">
      <alignment horizontal="center"/>
    </xf>
    <xf numFmtId="3" fontId="20" fillId="24" borderId="0" xfId="0" applyNumberFormat="1" applyFont="1" applyFill="1" applyAlignment="1">
      <alignment horizontal="right"/>
    </xf>
    <xf numFmtId="3" fontId="19" fillId="24" borderId="0" xfId="0" applyNumberFormat="1" applyFont="1" applyFill="1" applyAlignment="1">
      <alignment horizontal="center"/>
    </xf>
    <xf numFmtId="0" fontId="19" fillId="6" borderId="29" xfId="0" applyFont="1" applyFill="1" applyBorder="1"/>
    <xf numFmtId="0" fontId="19" fillId="6" borderId="13" xfId="0" applyFont="1" applyFill="1" applyBorder="1"/>
    <xf numFmtId="0" fontId="19" fillId="6" borderId="26" xfId="0" applyFont="1" applyFill="1" applyBorder="1"/>
    <xf numFmtId="0" fontId="19" fillId="0" borderId="30" xfId="0" applyFont="1" applyBorder="1"/>
    <xf numFmtId="0" fontId="19" fillId="6" borderId="31" xfId="0" applyFont="1" applyFill="1" applyBorder="1"/>
    <xf numFmtId="0" fontId="19" fillId="6" borderId="32" xfId="0" applyFont="1" applyFill="1" applyBorder="1"/>
    <xf numFmtId="0" fontId="19" fillId="6" borderId="33" xfId="0" applyFont="1" applyFill="1" applyBorder="1"/>
    <xf numFmtId="1" fontId="0" fillId="24" borderId="0" xfId="0" applyNumberFormat="1" applyFill="1"/>
    <xf numFmtId="0" fontId="42" fillId="24" borderId="13" xfId="0" applyFont="1" applyFill="1" applyBorder="1" applyAlignment="1">
      <alignment horizontal="right"/>
    </xf>
    <xf numFmtId="3" fontId="20" fillId="0" borderId="24" xfId="0" applyNumberFormat="1" applyFont="1" applyBorder="1" applyAlignment="1">
      <alignment horizontal="center"/>
    </xf>
    <xf numFmtId="0" fontId="20" fillId="24" borderId="0" xfId="0" applyFont="1" applyFill="1" applyAlignment="1">
      <alignment horizontal="center"/>
    </xf>
    <xf numFmtId="0" fontId="20" fillId="0" borderId="0" xfId="0" applyFont="1" applyAlignment="1">
      <alignment horizontal="center"/>
    </xf>
    <xf numFmtId="3" fontId="20" fillId="0" borderId="28" xfId="0" applyNumberFormat="1" applyFont="1" applyBorder="1" applyAlignment="1">
      <alignment horizontal="center" wrapText="1"/>
    </xf>
    <xf numFmtId="3" fontId="20" fillId="0" borderId="13" xfId="0" applyNumberFormat="1" applyFont="1" applyBorder="1" applyAlignment="1">
      <alignment horizontal="center" wrapText="1"/>
    </xf>
    <xf numFmtId="3" fontId="20" fillId="0" borderId="26" xfId="0" applyNumberFormat="1" applyFont="1" applyBorder="1" applyAlignment="1">
      <alignment horizontal="center" wrapText="1"/>
    </xf>
    <xf numFmtId="3" fontId="20" fillId="0" borderId="29" xfId="0" applyNumberFormat="1" applyFont="1" applyBorder="1" applyAlignment="1">
      <alignment horizontal="center" wrapText="1"/>
    </xf>
    <xf numFmtId="3" fontId="20" fillId="0" borderId="38" xfId="0" applyNumberFormat="1" applyFont="1" applyBorder="1" applyAlignment="1">
      <alignment horizontal="center" wrapText="1"/>
    </xf>
    <xf numFmtId="0" fontId="19" fillId="24" borderId="0" xfId="0" applyFont="1" applyFill="1" applyAlignment="1">
      <alignment horizontal="center"/>
    </xf>
    <xf numFmtId="0" fontId="19" fillId="0" borderId="0" xfId="0" applyFont="1" applyAlignment="1">
      <alignment horizontal="center"/>
    </xf>
    <xf numFmtId="0" fontId="20" fillId="0" borderId="28" xfId="0" applyFont="1" applyBorder="1"/>
    <xf numFmtId="3" fontId="19" fillId="22" borderId="28" xfId="0" applyNumberFormat="1" applyFont="1" applyFill="1" applyBorder="1"/>
    <xf numFmtId="3" fontId="19" fillId="28" borderId="26" xfId="0" applyNumberFormat="1" applyFont="1" applyFill="1" applyBorder="1"/>
    <xf numFmtId="3" fontId="19" fillId="22" borderId="29" xfId="0" applyNumberFormat="1" applyFont="1" applyFill="1" applyBorder="1"/>
    <xf numFmtId="3" fontId="20" fillId="0" borderId="32" xfId="0" applyNumberFormat="1" applyFont="1" applyBorder="1"/>
    <xf numFmtId="3" fontId="20" fillId="0" borderId="33" xfId="0" applyNumberFormat="1" applyFont="1" applyBorder="1"/>
    <xf numFmtId="3" fontId="20" fillId="0" borderId="30" xfId="0" applyNumberFormat="1" applyFont="1" applyBorder="1"/>
    <xf numFmtId="3" fontId="20" fillId="0" borderId="31" xfId="0" applyNumberFormat="1" applyFont="1" applyBorder="1"/>
    <xf numFmtId="0" fontId="20" fillId="0" borderId="31" xfId="0" applyFont="1" applyBorder="1"/>
    <xf numFmtId="3" fontId="20" fillId="0" borderId="32" xfId="0" applyNumberFormat="1" applyFont="1" applyFill="1" applyBorder="1"/>
    <xf numFmtId="3" fontId="20" fillId="0" borderId="48" xfId="0" applyNumberFormat="1" applyFont="1" applyFill="1" applyBorder="1"/>
    <xf numFmtId="0" fontId="19" fillId="24" borderId="0" xfId="0" applyFont="1" applyFill="1" applyAlignment="1">
      <alignment wrapText="1"/>
    </xf>
    <xf numFmtId="0" fontId="51" fillId="26" borderId="0" xfId="0" applyFont="1" applyFill="1" applyAlignment="1">
      <alignment horizontal="right" vertical="top"/>
    </xf>
    <xf numFmtId="0" fontId="45" fillId="0" borderId="0" xfId="0" applyFont="1"/>
    <xf numFmtId="0" fontId="42" fillId="0" borderId="0" xfId="0" applyFont="1"/>
    <xf numFmtId="0" fontId="42" fillId="11" borderId="0" xfId="0" applyFont="1" applyFill="1" applyBorder="1" applyAlignment="1">
      <alignment horizontal="left"/>
    </xf>
    <xf numFmtId="0" fontId="45" fillId="24" borderId="0" xfId="0" applyFont="1" applyFill="1" applyAlignment="1">
      <alignment horizontal="center" wrapText="1"/>
    </xf>
    <xf numFmtId="0" fontId="45" fillId="24" borderId="13" xfId="0" applyFont="1" applyFill="1" applyBorder="1" applyAlignment="1">
      <alignment horizontal="center" wrapText="1"/>
    </xf>
    <xf numFmtId="0" fontId="45" fillId="0" borderId="13" xfId="0" applyFont="1" applyBorder="1" applyAlignment="1">
      <alignment horizontal="center" wrapText="1"/>
    </xf>
    <xf numFmtId="0" fontId="45" fillId="0" borderId="0" xfId="0" applyFont="1" applyAlignment="1">
      <alignment horizontal="center" wrapText="1"/>
    </xf>
    <xf numFmtId="0" fontId="45" fillId="24" borderId="13" xfId="0" applyFont="1" applyFill="1" applyBorder="1" applyAlignment="1">
      <alignment horizontal="center"/>
    </xf>
    <xf numFmtId="0" fontId="45" fillId="0" borderId="13" xfId="0" applyNumberFormat="1" applyFont="1" applyBorder="1" applyAlignment="1">
      <alignment horizontal="left" wrapText="1"/>
    </xf>
    <xf numFmtId="0" fontId="0" fillId="22" borderId="13" xfId="0" applyFill="1" applyBorder="1"/>
    <xf numFmtId="3" fontId="45" fillId="0" borderId="13" xfId="0" applyNumberFormat="1" applyFont="1" applyBorder="1" applyAlignment="1">
      <alignment horizontal="center" wrapText="1"/>
    </xf>
    <xf numFmtId="10" fontId="16" fillId="24" borderId="13" xfId="39" applyNumberFormat="1" applyFill="1" applyBorder="1" applyAlignment="1" applyProtection="1">
      <alignment horizontal="center"/>
    </xf>
    <xf numFmtId="1" fontId="16" fillId="28" borderId="13" xfId="28" applyNumberFormat="1" applyFill="1" applyBorder="1" applyAlignment="1" applyProtection="1">
      <alignment horizontal="center"/>
    </xf>
    <xf numFmtId="0" fontId="45" fillId="24" borderId="13" xfId="0" applyNumberFormat="1" applyFont="1" applyFill="1" applyBorder="1" applyAlignment="1">
      <alignment horizontal="left" wrapText="1"/>
    </xf>
    <xf numFmtId="9" fontId="16" fillId="24" borderId="0" xfId="39" applyFill="1" applyBorder="1" applyAlignment="1" applyProtection="1"/>
    <xf numFmtId="0" fontId="0" fillId="24" borderId="13" xfId="0" applyFont="1" applyFill="1" applyBorder="1" applyAlignment="1">
      <alignment horizontal="right"/>
    </xf>
    <xf numFmtId="0" fontId="45" fillId="24" borderId="13" xfId="0" applyFont="1" applyFill="1" applyBorder="1" applyAlignment="1">
      <alignment horizontal="right"/>
    </xf>
    <xf numFmtId="173" fontId="25" fillId="24" borderId="13" xfId="28" applyNumberFormat="1" applyFont="1" applyFill="1" applyBorder="1" applyAlignment="1" applyProtection="1"/>
    <xf numFmtId="3" fontId="0" fillId="24" borderId="0" xfId="0" applyNumberFormat="1" applyFill="1" applyBorder="1"/>
    <xf numFmtId="3" fontId="0" fillId="0" borderId="0" xfId="0" applyNumberFormat="1" applyBorder="1"/>
    <xf numFmtId="0" fontId="43" fillId="22" borderId="22" xfId="0" applyFont="1" applyFill="1" applyBorder="1" applyAlignment="1">
      <alignment horizontal="left"/>
    </xf>
    <xf numFmtId="0" fontId="43" fillId="22" borderId="45" xfId="0" applyFont="1" applyFill="1" applyBorder="1" applyAlignment="1">
      <alignment horizontal="center"/>
    </xf>
    <xf numFmtId="0" fontId="43" fillId="22" borderId="24" xfId="0" applyFont="1" applyFill="1" applyBorder="1" applyAlignment="1">
      <alignment horizontal="center"/>
    </xf>
    <xf numFmtId="0" fontId="43" fillId="22" borderId="69" xfId="0" applyFont="1" applyFill="1" applyBorder="1" applyAlignment="1">
      <alignment horizontal="center"/>
    </xf>
    <xf numFmtId="0" fontId="43" fillId="22" borderId="47" xfId="0" applyFont="1" applyFill="1" applyBorder="1" applyAlignment="1">
      <alignment horizontal="center"/>
    </xf>
    <xf numFmtId="3" fontId="43" fillId="22" borderId="13" xfId="0" applyNumberFormat="1" applyFont="1" applyFill="1" applyBorder="1" applyAlignment="1">
      <alignment horizontal="center"/>
    </xf>
    <xf numFmtId="0" fontId="53" fillId="24" borderId="0" xfId="0" applyFont="1" applyFill="1" applyAlignment="1">
      <alignment horizontal="center"/>
    </xf>
    <xf numFmtId="0" fontId="43" fillId="0" borderId="28" xfId="0" applyFont="1" applyBorder="1" applyAlignment="1">
      <alignment horizontal="center"/>
    </xf>
    <xf numFmtId="0" fontId="43" fillId="0" borderId="65" xfId="0" applyFont="1" applyBorder="1" applyAlignment="1">
      <alignment horizontal="center"/>
    </xf>
    <xf numFmtId="0" fontId="43" fillId="0" borderId="36" xfId="0" applyFont="1" applyBorder="1" applyAlignment="1">
      <alignment horizontal="center" wrapText="1"/>
    </xf>
    <xf numFmtId="0" fontId="43" fillId="0" borderId="13" xfId="0" applyFont="1" applyBorder="1" applyAlignment="1">
      <alignment horizontal="center" wrapText="1"/>
    </xf>
    <xf numFmtId="3" fontId="43" fillId="0" borderId="53" xfId="0" applyNumberFormat="1" applyFont="1" applyBorder="1" applyAlignment="1">
      <alignment horizontal="center" wrapText="1"/>
    </xf>
    <xf numFmtId="3" fontId="43" fillId="0" borderId="55" xfId="0" applyNumberFormat="1" applyFont="1" applyBorder="1" applyAlignment="1">
      <alignment horizontal="center" wrapText="1"/>
    </xf>
    <xf numFmtId="3" fontId="43" fillId="0" borderId="70" xfId="0" applyNumberFormat="1" applyFont="1" applyBorder="1" applyAlignment="1">
      <alignment horizontal="center" wrapText="1"/>
    </xf>
    <xf numFmtId="3" fontId="43" fillId="0" borderId="58" xfId="0" applyNumberFormat="1" applyFont="1" applyBorder="1" applyAlignment="1">
      <alignment horizontal="center" wrapText="1"/>
    </xf>
    <xf numFmtId="3" fontId="43" fillId="0" borderId="54" xfId="0" applyNumberFormat="1" applyFont="1" applyBorder="1" applyAlignment="1">
      <alignment horizontal="center" wrapText="1"/>
    </xf>
    <xf numFmtId="3" fontId="43" fillId="0" borderId="51" xfId="0" applyNumberFormat="1" applyFont="1" applyBorder="1" applyAlignment="1">
      <alignment horizontal="center" wrapText="1"/>
    </xf>
    <xf numFmtId="0" fontId="53" fillId="0" borderId="0" xfId="0" applyFont="1" applyAlignment="1">
      <alignment horizontal="center"/>
    </xf>
    <xf numFmtId="0" fontId="16" fillId="0" borderId="59" xfId="0" applyFont="1" applyBorder="1" applyAlignment="1">
      <alignment horizontal="center"/>
    </xf>
    <xf numFmtId="9" fontId="16" fillId="22" borderId="13" xfId="39" applyFont="1" applyFill="1" applyBorder="1" applyAlignment="1" applyProtection="1">
      <alignment horizontal="center"/>
    </xf>
    <xf numFmtId="3" fontId="16" fillId="22" borderId="26" xfId="0" applyNumberFormat="1" applyFont="1" applyFill="1" applyBorder="1"/>
    <xf numFmtId="3" fontId="16" fillId="28" borderId="62" xfId="0" applyNumberFormat="1" applyFont="1" applyFill="1" applyBorder="1"/>
    <xf numFmtId="3" fontId="16" fillId="5" borderId="13" xfId="0" applyNumberFormat="1" applyFont="1" applyFill="1" applyBorder="1"/>
    <xf numFmtId="3" fontId="16" fillId="6" borderId="15" xfId="0" applyNumberFormat="1" applyFont="1" applyFill="1" applyBorder="1"/>
    <xf numFmtId="3" fontId="16" fillId="6" borderId="28" xfId="0" applyNumberFormat="1" applyFont="1" applyFill="1" applyBorder="1"/>
    <xf numFmtId="3" fontId="16" fillId="6" borderId="13" xfId="0" applyNumberFormat="1" applyFont="1" applyFill="1" applyBorder="1"/>
    <xf numFmtId="3" fontId="16" fillId="28" borderId="15" xfId="0" applyNumberFormat="1" applyFont="1" applyFill="1" applyBorder="1"/>
    <xf numFmtId="3" fontId="16" fillId="28" borderId="26" xfId="0" applyNumberFormat="1" applyFont="1" applyFill="1" applyBorder="1"/>
    <xf numFmtId="3" fontId="16" fillId="28" borderId="38" xfId="0" applyNumberFormat="1" applyFont="1" applyFill="1" applyBorder="1"/>
    <xf numFmtId="0" fontId="16" fillId="0" borderId="39" xfId="0" applyFont="1" applyBorder="1"/>
    <xf numFmtId="0" fontId="16" fillId="0" borderId="40" xfId="0" applyFont="1" applyBorder="1" applyAlignment="1">
      <alignment horizontal="center"/>
    </xf>
    <xf numFmtId="3" fontId="16" fillId="22" borderId="60" xfId="0" applyNumberFormat="1" applyFont="1" applyFill="1" applyBorder="1"/>
    <xf numFmtId="0" fontId="43" fillId="0" borderId="41" xfId="0" applyFont="1" applyBorder="1" applyAlignment="1">
      <alignment horizontal="right"/>
    </xf>
    <xf numFmtId="0" fontId="43" fillId="0" borderId="42" xfId="0" applyFont="1" applyBorder="1" applyAlignment="1">
      <alignment horizontal="right"/>
    </xf>
    <xf numFmtId="3" fontId="43" fillId="0" borderId="9" xfId="0" applyNumberFormat="1" applyFont="1" applyBorder="1"/>
    <xf numFmtId="3" fontId="43" fillId="0" borderId="10" xfId="0" applyNumberFormat="1" applyFont="1" applyBorder="1"/>
    <xf numFmtId="3" fontId="43" fillId="0" borderId="67" xfId="0" applyNumberFormat="1" applyFont="1" applyBorder="1"/>
    <xf numFmtId="3" fontId="0" fillId="26" borderId="13" xfId="0" applyNumberFormat="1" applyFont="1" applyFill="1" applyBorder="1" applyAlignment="1">
      <alignment horizontal="center"/>
    </xf>
    <xf numFmtId="3" fontId="0" fillId="26" borderId="38" xfId="0" applyNumberFormat="1" applyFill="1" applyBorder="1"/>
    <xf numFmtId="3" fontId="0" fillId="26" borderId="71" xfId="0" applyNumberFormat="1" applyFill="1" applyBorder="1"/>
    <xf numFmtId="0" fontId="43" fillId="26" borderId="71" xfId="0" applyFont="1" applyFill="1" applyBorder="1"/>
    <xf numFmtId="3" fontId="45" fillId="26" borderId="29" xfId="0" applyNumberFormat="1" applyFont="1" applyFill="1" applyBorder="1" applyAlignment="1">
      <alignment horizontal="right"/>
    </xf>
    <xf numFmtId="3" fontId="45" fillId="26" borderId="13" xfId="0" applyNumberFormat="1" applyFont="1" applyFill="1" applyBorder="1"/>
    <xf numFmtId="0" fontId="43" fillId="26" borderId="37" xfId="0" applyFont="1" applyFill="1" applyBorder="1"/>
    <xf numFmtId="3" fontId="45" fillId="26" borderId="37" xfId="0" applyNumberFormat="1" applyFont="1" applyFill="1" applyBorder="1" applyAlignment="1">
      <alignment horizontal="right"/>
    </xf>
    <xf numFmtId="177" fontId="45" fillId="26" borderId="13" xfId="0" applyNumberFormat="1" applyFont="1" applyFill="1" applyBorder="1"/>
    <xf numFmtId="3" fontId="45" fillId="26" borderId="71" xfId="0" applyNumberFormat="1" applyFont="1" applyFill="1" applyBorder="1" applyAlignment="1">
      <alignment horizontal="right"/>
    </xf>
    <xf numFmtId="9" fontId="25" fillId="26" borderId="13" xfId="39" applyFont="1" applyFill="1" applyBorder="1" applyAlignment="1" applyProtection="1"/>
    <xf numFmtId="0" fontId="43" fillId="22" borderId="41" xfId="0" applyFont="1" applyFill="1" applyBorder="1" applyAlignment="1">
      <alignment horizontal="left"/>
    </xf>
    <xf numFmtId="0" fontId="43" fillId="22" borderId="42" xfId="0" applyFont="1" applyFill="1" applyBorder="1" applyAlignment="1">
      <alignment horizontal="center"/>
    </xf>
    <xf numFmtId="0" fontId="43" fillId="22" borderId="72" xfId="0" applyFont="1" applyFill="1" applyBorder="1" applyAlignment="1">
      <alignment horizontal="center"/>
    </xf>
    <xf numFmtId="0" fontId="43" fillId="22" borderId="43" xfId="0" applyFont="1" applyFill="1" applyBorder="1" applyAlignment="1">
      <alignment horizontal="center"/>
    </xf>
    <xf numFmtId="0" fontId="43" fillId="22" borderId="66" xfId="0" applyFont="1" applyFill="1" applyBorder="1" applyAlignment="1">
      <alignment horizontal="center"/>
    </xf>
    <xf numFmtId="0" fontId="25" fillId="0" borderId="38" xfId="0" applyFont="1" applyBorder="1"/>
    <xf numFmtId="0" fontId="25" fillId="0" borderId="38" xfId="0" applyFont="1" applyBorder="1" applyAlignment="1">
      <alignment horizontal="center"/>
    </xf>
    <xf numFmtId="3" fontId="16" fillId="22" borderId="38" xfId="0" applyNumberFormat="1" applyFont="1" applyFill="1" applyBorder="1"/>
    <xf numFmtId="3" fontId="25" fillId="6" borderId="15" xfId="0" applyNumberFormat="1" applyFont="1" applyFill="1" applyBorder="1"/>
    <xf numFmtId="0" fontId="16" fillId="24" borderId="13" xfId="0" applyFont="1" applyFill="1" applyBorder="1" applyAlignment="1">
      <alignment horizontal="left" wrapText="1"/>
    </xf>
    <xf numFmtId="0" fontId="25" fillId="0" borderId="37" xfId="0" applyFont="1" applyBorder="1"/>
    <xf numFmtId="0" fontId="16" fillId="0" borderId="37" xfId="0" applyFont="1" applyBorder="1" applyAlignment="1">
      <alignment horizontal="center"/>
    </xf>
    <xf numFmtId="0" fontId="16" fillId="0" borderId="13" xfId="0" applyFont="1" applyBorder="1" applyAlignment="1">
      <alignment horizontal="center"/>
    </xf>
    <xf numFmtId="0" fontId="16" fillId="0" borderId="65" xfId="0" applyFont="1" applyBorder="1" applyAlignment="1">
      <alignment horizontal="center"/>
    </xf>
    <xf numFmtId="0" fontId="16" fillId="0" borderId="16" xfId="0" applyFont="1" applyBorder="1" applyAlignment="1">
      <alignment horizontal="center"/>
    </xf>
    <xf numFmtId="3" fontId="16" fillId="22" borderId="63" xfId="0" applyNumberFormat="1" applyFont="1" applyFill="1" applyBorder="1"/>
    <xf numFmtId="3" fontId="16" fillId="5" borderId="16" xfId="0" applyNumberFormat="1" applyFont="1" applyFill="1" applyBorder="1"/>
    <xf numFmtId="3" fontId="43" fillId="0" borderId="66" xfId="0" applyNumberFormat="1" applyFont="1" applyBorder="1" applyAlignment="1">
      <alignment horizontal="right"/>
    </xf>
    <xf numFmtId="3" fontId="43" fillId="0" borderId="44" xfId="0" applyNumberFormat="1" applyFont="1" applyBorder="1"/>
    <xf numFmtId="3" fontId="0" fillId="24" borderId="0" xfId="0" applyNumberFormat="1" applyFill="1" applyBorder="1" applyAlignment="1">
      <alignment horizontal="right"/>
    </xf>
    <xf numFmtId="0" fontId="0" fillId="0" borderId="0" xfId="0" applyFill="1" applyBorder="1" applyAlignment="1">
      <alignment horizontal="right" vertical="top"/>
    </xf>
    <xf numFmtId="0" fontId="29" fillId="24" borderId="0" xfId="0" applyFont="1" applyFill="1" applyAlignment="1">
      <alignment horizontal="left"/>
    </xf>
    <xf numFmtId="3" fontId="20" fillId="0" borderId="72" xfId="0" applyNumberFormat="1" applyFont="1" applyBorder="1" applyAlignment="1">
      <alignment horizontal="center" wrapText="1"/>
    </xf>
    <xf numFmtId="3" fontId="20" fillId="0" borderId="44" xfId="0" applyNumberFormat="1" applyFont="1" applyBorder="1" applyAlignment="1">
      <alignment horizontal="center" wrapText="1"/>
    </xf>
    <xf numFmtId="3" fontId="19" fillId="28" borderId="58" xfId="0" applyNumberFormat="1" applyFont="1" applyFill="1" applyBorder="1"/>
    <xf numFmtId="3" fontId="19" fillId="28" borderId="15" xfId="0" applyNumberFormat="1" applyFont="1" applyFill="1" applyBorder="1"/>
    <xf numFmtId="3" fontId="19" fillId="5" borderId="9" xfId="0" applyNumberFormat="1" applyFont="1" applyFill="1" applyBorder="1"/>
    <xf numFmtId="3" fontId="19" fillId="28" borderId="67" xfId="0" applyNumberFormat="1" applyFont="1" applyFill="1" applyBorder="1"/>
    <xf numFmtId="3" fontId="19" fillId="28" borderId="73" xfId="0" applyNumberFormat="1" applyFont="1" applyFill="1" applyBorder="1"/>
    <xf numFmtId="3" fontId="20" fillId="5" borderId="9" xfId="0" applyNumberFormat="1" applyFont="1" applyFill="1" applyBorder="1"/>
    <xf numFmtId="3" fontId="19" fillId="5" borderId="14" xfId="0" applyNumberFormat="1" applyFont="1" applyFill="1" applyBorder="1"/>
    <xf numFmtId="3" fontId="19" fillId="28" borderId="14" xfId="0" applyNumberFormat="1" applyFont="1" applyFill="1" applyBorder="1"/>
    <xf numFmtId="3" fontId="19" fillId="5" borderId="59" xfId="0" applyNumberFormat="1" applyFont="1" applyFill="1" applyBorder="1"/>
    <xf numFmtId="3" fontId="19" fillId="5" borderId="27" xfId="0" applyNumberFormat="1" applyFont="1" applyFill="1" applyBorder="1"/>
    <xf numFmtId="3" fontId="19" fillId="28" borderId="21" xfId="0" applyNumberFormat="1" applyFont="1" applyFill="1" applyBorder="1"/>
    <xf numFmtId="3" fontId="20" fillId="5" borderId="41" xfId="0" applyNumberFormat="1" applyFont="1" applyFill="1" applyBorder="1"/>
    <xf numFmtId="3" fontId="20" fillId="28" borderId="67" xfId="0" applyNumberFormat="1" applyFont="1" applyFill="1" applyBorder="1"/>
    <xf numFmtId="3" fontId="19" fillId="5" borderId="38" xfId="0" applyNumberFormat="1" applyFont="1" applyFill="1" applyBorder="1"/>
    <xf numFmtId="3" fontId="19" fillId="5" borderId="40" xfId="0" applyNumberFormat="1" applyFont="1" applyFill="1" applyBorder="1"/>
    <xf numFmtId="0" fontId="20" fillId="0" borderId="41" xfId="0" applyFont="1" applyBorder="1" applyAlignment="1">
      <alignment horizontal="center"/>
    </xf>
    <xf numFmtId="3" fontId="20" fillId="0" borderId="66" xfId="0" applyNumberFormat="1" applyFont="1" applyBorder="1" applyAlignment="1">
      <alignment horizontal="center" wrapText="1"/>
    </xf>
    <xf numFmtId="3" fontId="20" fillId="0" borderId="43" xfId="0" applyNumberFormat="1" applyFont="1" applyBorder="1" applyAlignment="1">
      <alignment horizontal="center" wrapText="1"/>
    </xf>
    <xf numFmtId="0" fontId="20" fillId="0" borderId="54" xfId="0" applyFont="1" applyBorder="1"/>
    <xf numFmtId="3" fontId="19" fillId="0" borderId="36" xfId="0" applyNumberFormat="1" applyFont="1" applyBorder="1"/>
    <xf numFmtId="3" fontId="19" fillId="5" borderId="55" xfId="0" applyNumberFormat="1" applyFont="1" applyFill="1" applyBorder="1"/>
    <xf numFmtId="3" fontId="19" fillId="28" borderId="55" xfId="0" applyNumberFormat="1" applyFont="1" applyFill="1" applyBorder="1"/>
    <xf numFmtId="3" fontId="19" fillId="0" borderId="38" xfId="0" applyNumberFormat="1" applyFont="1" applyBorder="1"/>
    <xf numFmtId="3" fontId="19" fillId="5" borderId="71" xfId="0" applyNumberFormat="1" applyFont="1" applyFill="1" applyBorder="1"/>
    <xf numFmtId="3" fontId="19" fillId="0" borderId="65" xfId="0" applyNumberFormat="1" applyFont="1" applyFill="1" applyBorder="1"/>
    <xf numFmtId="3" fontId="19" fillId="28" borderId="60" xfId="0" applyNumberFormat="1" applyFont="1" applyFill="1" applyBorder="1"/>
    <xf numFmtId="3" fontId="19" fillId="0" borderId="0" xfId="0" applyNumberFormat="1" applyFont="1"/>
    <xf numFmtId="3" fontId="19" fillId="0" borderId="63" xfId="0" applyNumberFormat="1" applyFont="1" applyBorder="1"/>
    <xf numFmtId="3" fontId="20" fillId="0" borderId="66" xfId="0" applyNumberFormat="1" applyFont="1" applyBorder="1" applyAlignment="1">
      <alignment horizontal="right"/>
    </xf>
    <xf numFmtId="3" fontId="20" fillId="0" borderId="43" xfId="0" applyNumberFormat="1" applyFont="1" applyBorder="1" applyAlignment="1">
      <alignment horizontal="center"/>
    </xf>
    <xf numFmtId="3" fontId="20" fillId="5" borderId="44" xfId="0" applyNumberFormat="1" applyFont="1" applyFill="1" applyBorder="1"/>
    <xf numFmtId="3" fontId="20" fillId="28" borderId="44" xfId="0" applyNumberFormat="1" applyFont="1" applyFill="1" applyBorder="1"/>
    <xf numFmtId="3" fontId="19" fillId="24" borderId="0" xfId="0" applyNumberFormat="1" applyFont="1" applyFill="1" applyBorder="1"/>
    <xf numFmtId="0" fontId="54" fillId="0" borderId="0" xfId="0" applyFont="1" applyFill="1" applyBorder="1" applyAlignment="1">
      <alignment horizontal="left"/>
    </xf>
    <xf numFmtId="0" fontId="0" fillId="0" borderId="0" xfId="0" applyFill="1" applyBorder="1" applyAlignment="1">
      <alignment horizontal="left"/>
    </xf>
    <xf numFmtId="0" fontId="41" fillId="0" borderId="0" xfId="0" applyFont="1" applyFill="1" applyAlignment="1">
      <alignment horizontal="left"/>
    </xf>
    <xf numFmtId="0" fontId="54" fillId="24" borderId="0" xfId="0" applyFont="1" applyFill="1" applyBorder="1"/>
    <xf numFmtId="0" fontId="0" fillId="24" borderId="0" xfId="0" applyFont="1" applyFill="1" applyBorder="1" applyAlignment="1">
      <alignment horizontal="center"/>
    </xf>
    <xf numFmtId="0" fontId="56" fillId="0" borderId="0" xfId="0" applyFont="1" applyFill="1" applyBorder="1"/>
    <xf numFmtId="0" fontId="45" fillId="24" borderId="0" xfId="0" applyFont="1" applyFill="1" applyBorder="1" applyAlignment="1">
      <alignment horizontal="center"/>
    </xf>
    <xf numFmtId="0" fontId="0" fillId="24" borderId="0" xfId="0" applyFont="1" applyFill="1" applyBorder="1" applyAlignment="1">
      <alignment horizontal="right"/>
    </xf>
    <xf numFmtId="0" fontId="0" fillId="6" borderId="0" xfId="0" applyFont="1" applyFill="1" applyBorder="1" applyAlignment="1">
      <alignment horizontal="right"/>
    </xf>
    <xf numFmtId="179" fontId="0" fillId="26" borderId="51" xfId="0" applyNumberFormat="1" applyFill="1" applyBorder="1"/>
    <xf numFmtId="11" fontId="0" fillId="24" borderId="0" xfId="0" applyNumberFormat="1" applyFill="1" applyBorder="1"/>
    <xf numFmtId="0" fontId="0" fillId="26" borderId="0" xfId="0" applyFont="1" applyFill="1" applyBorder="1"/>
    <xf numFmtId="11" fontId="0" fillId="22" borderId="0" xfId="0" applyNumberFormat="1" applyFill="1" applyBorder="1"/>
    <xf numFmtId="0" fontId="0" fillId="22" borderId="0" xfId="0" applyFill="1" applyBorder="1"/>
    <xf numFmtId="0" fontId="0" fillId="3" borderId="0" xfId="0" applyFont="1" applyFill="1" applyBorder="1" applyAlignment="1"/>
    <xf numFmtId="178" fontId="0" fillId="26" borderId="51" xfId="0" applyNumberFormat="1" applyFill="1" applyBorder="1"/>
    <xf numFmtId="179" fontId="0" fillId="26" borderId="35" xfId="0" applyNumberFormat="1" applyFill="1" applyBorder="1"/>
    <xf numFmtId="0" fontId="0" fillId="24" borderId="13" xfId="0" applyFill="1" applyBorder="1" applyAlignment="1">
      <alignment wrapText="1"/>
    </xf>
    <xf numFmtId="0" fontId="0" fillId="24" borderId="13" xfId="0" applyFont="1" applyFill="1" applyBorder="1" applyAlignment="1">
      <alignment horizontal="center" wrapText="1"/>
    </xf>
    <xf numFmtId="0" fontId="0" fillId="24" borderId="0" xfId="0" applyFill="1" applyBorder="1" applyAlignment="1">
      <alignment wrapText="1"/>
    </xf>
    <xf numFmtId="0" fontId="0" fillId="24" borderId="13" xfId="0" applyFont="1" applyFill="1" applyBorder="1" applyAlignment="1">
      <alignment horizontal="right" vertical="top" wrapText="1"/>
    </xf>
    <xf numFmtId="11" fontId="0" fillId="24" borderId="13" xfId="0" applyNumberFormat="1" applyFill="1" applyBorder="1" applyAlignment="1">
      <alignment vertical="top" wrapText="1"/>
    </xf>
    <xf numFmtId="0" fontId="0" fillId="24" borderId="13" xfId="0" applyFont="1" applyFill="1" applyBorder="1" applyAlignment="1">
      <alignment vertical="top" wrapText="1"/>
    </xf>
    <xf numFmtId="0" fontId="51" fillId="11" borderId="0" xfId="0" applyFont="1" applyFill="1" applyBorder="1" applyAlignment="1">
      <alignment horizontal="left"/>
    </xf>
    <xf numFmtId="0" fontId="56" fillId="24" borderId="0" xfId="0" applyFont="1" applyFill="1"/>
    <xf numFmtId="0" fontId="56" fillId="26" borderId="0" xfId="0" applyFont="1" applyFill="1"/>
    <xf numFmtId="0" fontId="56" fillId="0" borderId="0" xfId="0" applyFont="1" applyBorder="1"/>
    <xf numFmtId="0" fontId="56" fillId="0" borderId="0" xfId="0" applyFont="1"/>
    <xf numFmtId="0" fontId="45" fillId="0" borderId="13" xfId="0" applyFont="1" applyBorder="1" applyAlignment="1">
      <alignment horizontal="center"/>
    </xf>
    <xf numFmtId="0" fontId="45" fillId="0" borderId="13" xfId="0" applyFont="1" applyBorder="1" applyAlignment="1">
      <alignment horizontal="center" vertical="center" wrapText="1"/>
    </xf>
    <xf numFmtId="0" fontId="45" fillId="0" borderId="0" xfId="0" applyFont="1" applyAlignment="1">
      <alignment wrapText="1"/>
    </xf>
    <xf numFmtId="0" fontId="45" fillId="0" borderId="53" xfId="0" applyFont="1" applyBorder="1" applyAlignment="1">
      <alignment horizontal="center" wrapText="1"/>
    </xf>
    <xf numFmtId="3" fontId="0" fillId="0" borderId="13" xfId="0" applyNumberFormat="1" applyBorder="1" applyAlignment="1">
      <alignment horizontal="center"/>
    </xf>
    <xf numFmtId="0" fontId="0" fillId="0" borderId="13" xfId="0" applyNumberFormat="1" applyBorder="1" applyAlignment="1">
      <alignment horizontal="center"/>
    </xf>
    <xf numFmtId="10" fontId="16" fillId="27" borderId="13" xfId="39" applyNumberFormat="1" applyFill="1" applyBorder="1" applyAlignment="1" applyProtection="1">
      <alignment horizontal="center"/>
    </xf>
    <xf numFmtId="3" fontId="0" fillId="0" borderId="13" xfId="0" applyNumberFormat="1" applyFill="1" applyBorder="1" applyAlignment="1">
      <alignment horizontal="center"/>
    </xf>
    <xf numFmtId="0" fontId="0" fillId="26" borderId="0" xfId="0" applyFont="1" applyFill="1"/>
    <xf numFmtId="0" fontId="45" fillId="0" borderId="0" xfId="0" applyFont="1" applyAlignment="1">
      <alignment horizontal="center" vertical="center" wrapText="1"/>
    </xf>
    <xf numFmtId="0" fontId="0" fillId="26" borderId="0" xfId="0" applyFont="1" applyFill="1" applyAlignment="1">
      <alignment horizontal="center"/>
    </xf>
    <xf numFmtId="0" fontId="45" fillId="24" borderId="13" xfId="0" applyNumberFormat="1" applyFont="1" applyFill="1" applyBorder="1" applyAlignment="1">
      <alignment horizontal="center" wrapText="1"/>
    </xf>
    <xf numFmtId="0" fontId="45" fillId="0" borderId="13" xfId="0" applyNumberFormat="1" applyFont="1" applyBorder="1" applyAlignment="1">
      <alignment horizontal="center" wrapText="1"/>
    </xf>
    <xf numFmtId="4" fontId="0" fillId="0" borderId="13" xfId="0" applyNumberFormat="1" applyBorder="1" applyAlignment="1">
      <alignment horizontal="center"/>
    </xf>
    <xf numFmtId="4" fontId="0" fillId="24" borderId="13" xfId="0" applyNumberFormat="1" applyFill="1" applyBorder="1" applyAlignment="1">
      <alignment horizontal="center"/>
    </xf>
    <xf numFmtId="4" fontId="0" fillId="26" borderId="13" xfId="0" applyNumberFormat="1" applyFill="1" applyBorder="1" applyAlignment="1">
      <alignment horizontal="center"/>
    </xf>
    <xf numFmtId="2" fontId="0" fillId="0" borderId="0" xfId="0" applyNumberFormat="1"/>
    <xf numFmtId="0" fontId="0" fillId="0" borderId="34" xfId="0" applyBorder="1"/>
    <xf numFmtId="3" fontId="0" fillId="24" borderId="13" xfId="0" applyNumberFormat="1" applyFill="1" applyBorder="1" applyAlignment="1">
      <alignment horizontal="center"/>
    </xf>
    <xf numFmtId="11" fontId="0" fillId="0" borderId="0" xfId="0" applyNumberFormat="1"/>
    <xf numFmtId="0" fontId="45" fillId="0" borderId="25" xfId="0" applyFont="1" applyBorder="1"/>
    <xf numFmtId="0" fontId="0" fillId="0" borderId="26" xfId="0" applyBorder="1"/>
    <xf numFmtId="0" fontId="0" fillId="0" borderId="33" xfId="0" applyBorder="1"/>
    <xf numFmtId="3" fontId="36" fillId="22" borderId="29" xfId="0" applyNumberFormat="1" applyFont="1" applyFill="1" applyBorder="1"/>
    <xf numFmtId="0" fontId="32" fillId="0" borderId="40" xfId="0" applyFont="1" applyBorder="1" applyAlignment="1">
      <alignment horizontal="center"/>
    </xf>
    <xf numFmtId="0" fontId="61" fillId="0" borderId="74" xfId="0" applyFont="1" applyBorder="1"/>
    <xf numFmtId="0" fontId="36" fillId="24" borderId="75" xfId="0" applyFont="1" applyFill="1" applyBorder="1"/>
    <xf numFmtId="0" fontId="61" fillId="0" borderId="76" xfId="0" applyFont="1" applyBorder="1"/>
    <xf numFmtId="0" fontId="62" fillId="0" borderId="76" xfId="0" applyFont="1" applyBorder="1"/>
    <xf numFmtId="0" fontId="37" fillId="26" borderId="77" xfId="0" applyFont="1" applyFill="1" applyBorder="1"/>
    <xf numFmtId="3" fontId="80" fillId="24" borderId="0" xfId="0" applyNumberFormat="1" applyFont="1" applyFill="1"/>
    <xf numFmtId="3" fontId="81" fillId="24" borderId="0" xfId="0" applyNumberFormat="1" applyFont="1" applyFill="1"/>
    <xf numFmtId="0" fontId="36" fillId="24" borderId="38" xfId="0" applyFont="1" applyFill="1" applyBorder="1" applyAlignment="1">
      <alignment wrapText="1"/>
    </xf>
    <xf numFmtId="0" fontId="32" fillId="24" borderId="38" xfId="0" applyFont="1" applyFill="1" applyBorder="1" applyAlignment="1">
      <alignment wrapText="1"/>
    </xf>
    <xf numFmtId="0" fontId="36" fillId="24" borderId="74" xfId="0" applyFont="1" applyFill="1" applyBorder="1"/>
    <xf numFmtId="0" fontId="32" fillId="24" borderId="74" xfId="0" applyFont="1" applyFill="1" applyBorder="1"/>
    <xf numFmtId="0" fontId="32" fillId="24" borderId="38" xfId="0" applyFont="1" applyFill="1" applyBorder="1" applyAlignment="1">
      <alignment horizontal="center" wrapText="1"/>
    </xf>
    <xf numFmtId="0" fontId="32" fillId="24" borderId="74" xfId="0" applyFont="1" applyFill="1" applyBorder="1" applyAlignment="1">
      <alignment horizontal="center" wrapText="1"/>
    </xf>
    <xf numFmtId="3" fontId="36" fillId="22" borderId="59" xfId="0" applyNumberFormat="1" applyFont="1" applyFill="1" applyBorder="1"/>
    <xf numFmtId="3" fontId="36" fillId="22" borderId="94" xfId="0" applyNumberFormat="1" applyFont="1" applyFill="1" applyBorder="1"/>
    <xf numFmtId="0" fontId="61" fillId="0" borderId="74" xfId="0" applyFont="1" applyFill="1" applyBorder="1"/>
    <xf numFmtId="0" fontId="62" fillId="0" borderId="76" xfId="0" applyFont="1" applyFill="1" applyBorder="1"/>
    <xf numFmtId="0" fontId="19" fillId="22" borderId="78" xfId="0" applyFont="1" applyFill="1" applyBorder="1" applyAlignment="1">
      <alignment horizontal="center"/>
    </xf>
    <xf numFmtId="3" fontId="19" fillId="28" borderId="59" xfId="0" applyNumberFormat="1" applyFont="1" applyFill="1" applyBorder="1" applyAlignment="1">
      <alignment horizontal="center"/>
    </xf>
    <xf numFmtId="0" fontId="20" fillId="24" borderId="79" xfId="0" applyFont="1" applyFill="1" applyBorder="1" applyAlignment="1">
      <alignment horizontal="center" wrapText="1"/>
    </xf>
    <xf numFmtId="0" fontId="20" fillId="24" borderId="80" xfId="0" applyFont="1" applyFill="1" applyBorder="1" applyAlignment="1">
      <alignment horizontal="center" wrapText="1"/>
    </xf>
    <xf numFmtId="0" fontId="82" fillId="0" borderId="76" xfId="0" applyFont="1" applyBorder="1"/>
    <xf numFmtId="0" fontId="82" fillId="0" borderId="74" xfId="0" applyFont="1" applyFill="1" applyBorder="1"/>
    <xf numFmtId="0" fontId="83" fillId="0" borderId="28" xfId="0" applyFont="1" applyBorder="1"/>
    <xf numFmtId="0" fontId="83" fillId="0" borderId="29" xfId="0" applyFont="1" applyBorder="1"/>
    <xf numFmtId="0" fontId="37" fillId="31" borderId="13" xfId="0" applyFont="1" applyFill="1" applyBorder="1"/>
    <xf numFmtId="3" fontId="64" fillId="29" borderId="13" xfId="37" applyNumberFormat="1" applyFont="1" applyFill="1" applyBorder="1"/>
    <xf numFmtId="3" fontId="64" fillId="30" borderId="13" xfId="37" applyNumberFormat="1" applyFont="1" applyFill="1" applyBorder="1"/>
    <xf numFmtId="0" fontId="37" fillId="22" borderId="13" xfId="0" applyNumberFormat="1" applyFont="1" applyFill="1" applyBorder="1"/>
    <xf numFmtId="2" fontId="0" fillId="24" borderId="0" xfId="0" applyNumberFormat="1" applyFill="1" applyBorder="1"/>
    <xf numFmtId="2" fontId="19" fillId="24" borderId="0" xfId="0" applyNumberFormat="1" applyFont="1" applyFill="1" applyBorder="1" applyAlignment="1">
      <alignment horizontal="left"/>
    </xf>
    <xf numFmtId="2" fontId="19" fillId="24" borderId="0" xfId="0" applyNumberFormat="1" applyFont="1" applyFill="1" applyBorder="1"/>
    <xf numFmtId="2" fontId="20" fillId="24" borderId="79" xfId="0" applyNumberFormat="1" applyFont="1" applyFill="1" applyBorder="1" applyAlignment="1">
      <alignment horizontal="center" wrapText="1"/>
    </xf>
    <xf numFmtId="2" fontId="20" fillId="0" borderId="43" xfId="0" applyNumberFormat="1" applyFont="1" applyFill="1" applyBorder="1" applyAlignment="1">
      <alignment horizontal="center"/>
    </xf>
    <xf numFmtId="2" fontId="19" fillId="0" borderId="0" xfId="0" applyNumberFormat="1" applyFont="1" applyBorder="1" applyAlignment="1">
      <alignment horizontal="left"/>
    </xf>
    <xf numFmtId="2" fontId="28" fillId="24" borderId="43" xfId="0" applyNumberFormat="1" applyFont="1" applyFill="1" applyBorder="1" applyAlignment="1">
      <alignment horizontal="center" wrapText="1"/>
    </xf>
    <xf numFmtId="2" fontId="21" fillId="22" borderId="53" xfId="0" applyNumberFormat="1" applyFont="1" applyFill="1" applyBorder="1" applyAlignment="1">
      <alignment horizontal="center"/>
    </xf>
    <xf numFmtId="2" fontId="21" fillId="22" borderId="32" xfId="0" applyNumberFormat="1" applyFont="1" applyFill="1" applyBorder="1" applyAlignment="1">
      <alignment horizontal="center"/>
    </xf>
    <xf numFmtId="2" fontId="19" fillId="24" borderId="0" xfId="0" applyNumberFormat="1" applyFont="1" applyFill="1" applyBorder="1" applyAlignment="1"/>
    <xf numFmtId="2" fontId="0" fillId="24" borderId="0" xfId="0" applyNumberFormat="1" applyFill="1"/>
    <xf numFmtId="4" fontId="36" fillId="22" borderId="13" xfId="0" applyNumberFormat="1" applyFont="1" applyFill="1" applyBorder="1"/>
    <xf numFmtId="0" fontId="36" fillId="32" borderId="13" xfId="0" applyFont="1" applyFill="1" applyBorder="1"/>
    <xf numFmtId="0" fontId="36" fillId="32" borderId="29" xfId="0" applyFont="1" applyFill="1" applyBorder="1"/>
    <xf numFmtId="3" fontId="36" fillId="33" borderId="29" xfId="0" applyNumberFormat="1" applyFont="1" applyFill="1" applyBorder="1"/>
    <xf numFmtId="3" fontId="36" fillId="34" borderId="13" xfId="0" applyNumberFormat="1" applyFont="1" applyFill="1" applyBorder="1"/>
    <xf numFmtId="0" fontId="61" fillId="35" borderId="76" xfId="0" applyFont="1" applyFill="1" applyBorder="1"/>
    <xf numFmtId="1" fontId="36" fillId="22" borderId="13" xfId="0" applyNumberFormat="1" applyFont="1" applyFill="1" applyBorder="1"/>
    <xf numFmtId="0" fontId="36" fillId="36" borderId="29" xfId="0" applyFont="1" applyFill="1" applyBorder="1"/>
    <xf numFmtId="0" fontId="36" fillId="36" borderId="13" xfId="0" applyFont="1" applyFill="1" applyBorder="1"/>
    <xf numFmtId="0" fontId="84" fillId="24" borderId="0" xfId="0" applyFont="1" applyFill="1"/>
    <xf numFmtId="3" fontId="36" fillId="36" borderId="29" xfId="0" applyNumberFormat="1" applyFont="1" applyFill="1" applyBorder="1"/>
    <xf numFmtId="3" fontId="36" fillId="36" borderId="13" xfId="0" applyNumberFormat="1" applyFont="1" applyFill="1" applyBorder="1"/>
    <xf numFmtId="0" fontId="65" fillId="24" borderId="0" xfId="0" applyFont="1" applyFill="1" applyBorder="1"/>
    <xf numFmtId="179" fontId="0" fillId="37" borderId="51" xfId="0" applyNumberFormat="1" applyFill="1" applyBorder="1"/>
    <xf numFmtId="0" fontId="0" fillId="38" borderId="0" xfId="0" applyFill="1" applyBorder="1"/>
    <xf numFmtId="0" fontId="0" fillId="24" borderId="0" xfId="0" applyFill="1" applyBorder="1" applyAlignment="1">
      <alignment horizontal="right"/>
    </xf>
    <xf numFmtId="0" fontId="0" fillId="39" borderId="0" xfId="0" applyFill="1" applyBorder="1"/>
    <xf numFmtId="11" fontId="0" fillId="39" borderId="0" xfId="0" applyNumberFormat="1" applyFill="1" applyBorder="1"/>
    <xf numFmtId="0" fontId="85" fillId="0" borderId="0" xfId="0" applyFont="1"/>
    <xf numFmtId="0" fontId="39" fillId="22" borderId="0" xfId="0" applyFont="1" applyFill="1" applyBorder="1" applyAlignment="1">
      <alignment horizontal="center"/>
    </xf>
    <xf numFmtId="3" fontId="16" fillId="7" borderId="13" xfId="0" applyNumberFormat="1" applyFont="1" applyFill="1" applyBorder="1" applyAlignment="1">
      <alignment horizontal="center"/>
    </xf>
    <xf numFmtId="0" fontId="61" fillId="0" borderId="76" xfId="0" applyFont="1" applyFill="1" applyBorder="1"/>
    <xf numFmtId="0" fontId="82" fillId="0" borderId="76" xfId="0" applyFont="1" applyFill="1" applyBorder="1"/>
    <xf numFmtId="0" fontId="86" fillId="24" borderId="0" xfId="0" applyFont="1" applyFill="1"/>
    <xf numFmtId="0" fontId="87" fillId="24" borderId="0" xfId="0" applyFont="1" applyFill="1"/>
    <xf numFmtId="0" fontId="88" fillId="24" borderId="0" xfId="0" applyFont="1" applyFill="1"/>
    <xf numFmtId="3" fontId="89" fillId="27" borderId="38" xfId="0" applyNumberFormat="1" applyFont="1" applyFill="1" applyBorder="1"/>
    <xf numFmtId="3" fontId="90" fillId="0" borderId="48" xfId="0" applyNumberFormat="1" applyFont="1" applyBorder="1"/>
    <xf numFmtId="0" fontId="90" fillId="0" borderId="0" xfId="0" applyFont="1" applyBorder="1"/>
    <xf numFmtId="3" fontId="87" fillId="24" borderId="0" xfId="0" applyNumberFormat="1" applyFont="1" applyFill="1"/>
    <xf numFmtId="0" fontId="87" fillId="0" borderId="0" xfId="0" applyFont="1"/>
    <xf numFmtId="4" fontId="87" fillId="24" borderId="0" xfId="0" applyNumberFormat="1" applyFont="1" applyFill="1"/>
    <xf numFmtId="4" fontId="87" fillId="24" borderId="0" xfId="0" applyNumberFormat="1" applyFont="1" applyFill="1" applyAlignment="1">
      <alignment horizontal="left"/>
    </xf>
    <xf numFmtId="4" fontId="89" fillId="27" borderId="13" xfId="0" applyNumberFormat="1" applyFont="1" applyFill="1" applyBorder="1"/>
    <xf numFmtId="4" fontId="90" fillId="0" borderId="32" xfId="0" applyNumberFormat="1" applyFont="1" applyBorder="1"/>
    <xf numFmtId="4" fontId="90" fillId="0" borderId="0" xfId="0" applyNumberFormat="1" applyFont="1" applyBorder="1"/>
    <xf numFmtId="4" fontId="87" fillId="24" borderId="34" xfId="0" applyNumberFormat="1" applyFont="1" applyFill="1" applyBorder="1"/>
    <xf numFmtId="4" fontId="87" fillId="24" borderId="13" xfId="0" applyNumberFormat="1" applyFont="1" applyFill="1" applyBorder="1"/>
    <xf numFmtId="4" fontId="87" fillId="0" borderId="0" xfId="0" applyNumberFormat="1" applyFont="1"/>
    <xf numFmtId="3" fontId="90" fillId="40" borderId="38" xfId="0" applyNumberFormat="1" applyFont="1" applyFill="1" applyBorder="1" applyAlignment="1">
      <alignment horizontal="center" wrapText="1"/>
    </xf>
    <xf numFmtId="3" fontId="90" fillId="40" borderId="13" xfId="0" applyNumberFormat="1" applyFont="1" applyFill="1" applyBorder="1" applyAlignment="1">
      <alignment horizontal="center" wrapText="1"/>
    </xf>
    <xf numFmtId="4" fontId="90" fillId="40" borderId="13" xfId="0" applyNumberFormat="1" applyFont="1" applyFill="1" applyBorder="1" applyAlignment="1">
      <alignment horizontal="center" wrapText="1"/>
    </xf>
    <xf numFmtId="0" fontId="36" fillId="39" borderId="75" xfId="0" applyFont="1" applyFill="1" applyBorder="1"/>
    <xf numFmtId="0" fontId="36" fillId="41" borderId="75" xfId="0" applyFont="1" applyFill="1" applyBorder="1"/>
    <xf numFmtId="3" fontId="0" fillId="39" borderId="0" xfId="0" applyNumberFormat="1" applyFill="1"/>
    <xf numFmtId="4" fontId="32" fillId="0" borderId="32" xfId="0" applyNumberFormat="1" applyFont="1" applyBorder="1"/>
    <xf numFmtId="4" fontId="91" fillId="27" borderId="13" xfId="0" applyNumberFormat="1" applyFont="1" applyFill="1" applyBorder="1"/>
    <xf numFmtId="4" fontId="92" fillId="0" borderId="32" xfId="0" applyNumberFormat="1" applyFont="1" applyBorder="1"/>
    <xf numFmtId="0" fontId="61" fillId="0" borderId="28" xfId="0" applyFont="1" applyBorder="1"/>
    <xf numFmtId="0" fontId="82" fillId="0" borderId="28" xfId="0" applyFont="1" applyBorder="1"/>
    <xf numFmtId="2" fontId="19" fillId="42" borderId="78" xfId="0" applyNumberFormat="1" applyFont="1" applyFill="1" applyBorder="1" applyAlignment="1">
      <alignment horizontal="right"/>
    </xf>
    <xf numFmtId="2" fontId="19" fillId="22" borderId="16" xfId="0" applyNumberFormat="1" applyFont="1" applyFill="1" applyBorder="1" applyAlignment="1">
      <alignment horizontal="right"/>
    </xf>
    <xf numFmtId="1" fontId="19" fillId="28" borderId="59" xfId="0" applyNumberFormat="1" applyFont="1" applyFill="1" applyBorder="1" applyAlignment="1">
      <alignment horizontal="right"/>
    </xf>
    <xf numFmtId="1" fontId="19" fillId="28" borderId="13" xfId="0" applyNumberFormat="1" applyFont="1" applyFill="1" applyBorder="1" applyAlignment="1">
      <alignment horizontal="right"/>
    </xf>
    <xf numFmtId="3" fontId="0" fillId="43" borderId="0" xfId="0" applyNumberFormat="1" applyFill="1"/>
    <xf numFmtId="3" fontId="0" fillId="44" borderId="0" xfId="0" applyNumberFormat="1" applyFill="1"/>
    <xf numFmtId="3" fontId="0" fillId="44" borderId="0" xfId="0" applyNumberFormat="1" applyFill="1" applyAlignment="1">
      <alignment horizontal="center"/>
    </xf>
    <xf numFmtId="4" fontId="19" fillId="22" borderId="13" xfId="0" applyNumberFormat="1" applyFont="1" applyFill="1" applyBorder="1"/>
    <xf numFmtId="0" fontId="19" fillId="39" borderId="0" xfId="0" applyFont="1" applyFill="1"/>
    <xf numFmtId="0" fontId="0" fillId="44" borderId="0" xfId="0" applyFill="1"/>
    <xf numFmtId="0" fontId="0" fillId="39" borderId="0" xfId="0" applyFill="1"/>
    <xf numFmtId="0" fontId="0" fillId="22" borderId="13" xfId="0" applyFont="1" applyFill="1" applyBorder="1"/>
    <xf numFmtId="3" fontId="19" fillId="22" borderId="51" xfId="0" applyNumberFormat="1" applyFont="1" applyFill="1" applyBorder="1" applyAlignment="1">
      <alignment horizontal="center"/>
    </xf>
    <xf numFmtId="0" fontId="32" fillId="0" borderId="39" xfId="0" applyFont="1" applyBorder="1" applyAlignment="1">
      <alignment horizontal="center" vertical="center"/>
    </xf>
    <xf numFmtId="0" fontId="32" fillId="0" borderId="28" xfId="0" applyFont="1" applyBorder="1" applyAlignment="1">
      <alignment horizontal="center" vertical="center"/>
    </xf>
    <xf numFmtId="0" fontId="70" fillId="24" borderId="0" xfId="0" applyFont="1" applyFill="1"/>
    <xf numFmtId="0" fontId="32" fillId="0" borderId="40" xfId="0" applyFont="1" applyBorder="1" applyAlignment="1">
      <alignment horizontal="center" vertical="center"/>
    </xf>
    <xf numFmtId="0" fontId="34" fillId="0" borderId="28" xfId="0" applyFont="1" applyBorder="1" applyAlignment="1">
      <alignment horizontal="center" vertical="center"/>
    </xf>
    <xf numFmtId="3" fontId="0" fillId="26" borderId="35" xfId="0" applyNumberFormat="1" applyFill="1" applyBorder="1" applyAlignment="1">
      <alignment horizontal="center"/>
    </xf>
    <xf numFmtId="0" fontId="32" fillId="0" borderId="29" xfId="0" applyFont="1" applyBorder="1" applyAlignment="1">
      <alignment horizontal="center" vertical="center"/>
    </xf>
    <xf numFmtId="3" fontId="0" fillId="26" borderId="36" xfId="0" applyNumberFormat="1" applyFill="1" applyBorder="1"/>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32" fillId="0" borderId="28" xfId="0" applyFont="1" applyBorder="1" applyAlignment="1">
      <alignment horizontal="center" vertical="center" wrapText="1"/>
    </xf>
    <xf numFmtId="0" fontId="32" fillId="0" borderId="29" xfId="0" applyFont="1" applyBorder="1" applyAlignment="1">
      <alignment horizontal="center" vertical="center" wrapText="1"/>
    </xf>
    <xf numFmtId="0" fontId="20" fillId="24" borderId="41" xfId="0" applyFont="1" applyFill="1" applyBorder="1" applyAlignment="1">
      <alignment horizontal="center" vertical="center" wrapText="1"/>
    </xf>
    <xf numFmtId="0" fontId="20" fillId="24" borderId="43" xfId="0" applyFont="1" applyFill="1" applyBorder="1" applyAlignment="1">
      <alignment horizontal="center" vertical="center" wrapText="1"/>
    </xf>
    <xf numFmtId="0" fontId="0" fillId="0" borderId="81" xfId="0" applyBorder="1" applyAlignment="1">
      <alignment horizontal="right"/>
    </xf>
    <xf numFmtId="0" fontId="0" fillId="0" borderId="28" xfId="0" applyBorder="1" applyAlignment="1">
      <alignment horizontal="right"/>
    </xf>
    <xf numFmtId="0" fontId="0" fillId="0" borderId="39" xfId="0" applyBorder="1" applyAlignment="1">
      <alignment horizontal="right"/>
    </xf>
    <xf numFmtId="0" fontId="0" fillId="0" borderId="50" xfId="0" applyBorder="1" applyAlignment="1">
      <alignment horizontal="right"/>
    </xf>
    <xf numFmtId="3" fontId="0" fillId="0" borderId="28" xfId="0" applyNumberFormat="1" applyBorder="1" applyAlignment="1">
      <alignment horizontal="right"/>
    </xf>
    <xf numFmtId="0" fontId="0" fillId="0" borderId="41" xfId="0" applyBorder="1"/>
    <xf numFmtId="0" fontId="71" fillId="0" borderId="42" xfId="0" applyFont="1" applyBorder="1" applyAlignment="1">
      <alignment horizontal="center" wrapText="1"/>
    </xf>
    <xf numFmtId="0" fontId="71" fillId="0" borderId="41" xfId="0" applyFont="1" applyBorder="1" applyAlignment="1">
      <alignment horizontal="center" vertical="center"/>
    </xf>
    <xf numFmtId="0" fontId="0" fillId="24" borderId="0" xfId="0" quotePrefix="1" applyFill="1"/>
    <xf numFmtId="0" fontId="19" fillId="44" borderId="0" xfId="0" applyFont="1" applyFill="1"/>
    <xf numFmtId="0" fontId="0" fillId="24" borderId="13" xfId="0" applyFill="1" applyBorder="1"/>
    <xf numFmtId="0" fontId="0" fillId="0" borderId="13" xfId="0" applyBorder="1"/>
    <xf numFmtId="0" fontId="20" fillId="0" borderId="29" xfId="0" applyFont="1" applyBorder="1" applyAlignment="1">
      <alignment horizontal="center" vertical="center" wrapText="1"/>
    </xf>
    <xf numFmtId="3" fontId="20" fillId="0" borderId="31" xfId="0" applyNumberFormat="1" applyFont="1" applyBorder="1" applyAlignment="1">
      <alignment horizontal="right"/>
    </xf>
    <xf numFmtId="0" fontId="20" fillId="0" borderId="82" xfId="0" applyFont="1" applyBorder="1" applyAlignment="1">
      <alignment horizontal="center"/>
    </xf>
    <xf numFmtId="0" fontId="20" fillId="0" borderId="83" xfId="0" applyFont="1" applyBorder="1" applyAlignment="1">
      <alignment horizontal="center"/>
    </xf>
    <xf numFmtId="0" fontId="20" fillId="0" borderId="76" xfId="0" applyFont="1" applyBorder="1" applyAlignment="1">
      <alignment horizontal="center" vertical="center"/>
    </xf>
    <xf numFmtId="0" fontId="20" fillId="0" borderId="84" xfId="0" applyFont="1" applyBorder="1" applyAlignment="1">
      <alignment horizontal="center" vertical="center"/>
    </xf>
    <xf numFmtId="0" fontId="20" fillId="0" borderId="85" xfId="0" applyFont="1" applyBorder="1"/>
    <xf numFmtId="0" fontId="20" fillId="0" borderId="86" xfId="0" applyFont="1" applyBorder="1"/>
    <xf numFmtId="0" fontId="20" fillId="0" borderId="77" xfId="0" applyFont="1" applyBorder="1"/>
    <xf numFmtId="0" fontId="20" fillId="0" borderId="87" xfId="0" applyFont="1" applyBorder="1"/>
    <xf numFmtId="0" fontId="19" fillId="0" borderId="77" xfId="0" applyFont="1" applyBorder="1"/>
    <xf numFmtId="0" fontId="20" fillId="0" borderId="88" xfId="0" applyFont="1" applyBorder="1" applyAlignment="1">
      <alignment horizontal="right"/>
    </xf>
    <xf numFmtId="0" fontId="20" fillId="0" borderId="89" xfId="0" applyFont="1" applyBorder="1"/>
    <xf numFmtId="3" fontId="0" fillId="26" borderId="13" xfId="0" applyNumberFormat="1" applyFill="1" applyBorder="1" applyAlignment="1">
      <alignment horizontal="center"/>
    </xf>
    <xf numFmtId="0" fontId="72" fillId="0" borderId="0" xfId="0" applyFont="1"/>
    <xf numFmtId="0" fontId="72" fillId="3" borderId="0" xfId="0" applyFont="1" applyFill="1"/>
    <xf numFmtId="0" fontId="72" fillId="3" borderId="0" xfId="0" applyFont="1" applyFill="1" applyAlignment="1">
      <alignment horizontal="center"/>
    </xf>
    <xf numFmtId="0" fontId="73" fillId="0" borderId="0" xfId="0" applyFont="1"/>
    <xf numFmtId="0" fontId="74" fillId="0" borderId="0" xfId="0" applyFont="1"/>
    <xf numFmtId="0" fontId="75" fillId="0" borderId="0" xfId="0" applyFont="1"/>
    <xf numFmtId="0" fontId="73" fillId="0" borderId="0" xfId="0" applyFont="1" applyBorder="1"/>
    <xf numFmtId="0" fontId="77" fillId="0" borderId="9" xfId="0" applyFont="1" applyFill="1" applyBorder="1" applyAlignment="1">
      <alignment horizontal="left"/>
    </xf>
    <xf numFmtId="0" fontId="75" fillId="0" borderId="28" xfId="0" applyFont="1" applyBorder="1" applyAlignment="1">
      <alignment horizontal="right"/>
    </xf>
    <xf numFmtId="0" fontId="75" fillId="0" borderId="13" xfId="0" applyFont="1" applyBorder="1"/>
    <xf numFmtId="0" fontId="73" fillId="0" borderId="26" xfId="0" applyFont="1" applyBorder="1"/>
    <xf numFmtId="178" fontId="73" fillId="0" borderId="0" xfId="0" applyNumberFormat="1" applyFont="1"/>
    <xf numFmtId="0" fontId="77" fillId="24" borderId="12" xfId="0" applyFont="1" applyFill="1" applyBorder="1" applyAlignment="1">
      <alignment horizontal="left"/>
    </xf>
    <xf numFmtId="0" fontId="75" fillId="0" borderId="30" xfId="0" applyFont="1" applyBorder="1" applyAlignment="1">
      <alignment horizontal="right"/>
    </xf>
    <xf numFmtId="0" fontId="75" fillId="0" borderId="32" xfId="0" applyFont="1" applyBorder="1"/>
    <xf numFmtId="0" fontId="75" fillId="0" borderId="33" xfId="0" applyFont="1" applyBorder="1"/>
    <xf numFmtId="0" fontId="70" fillId="0" borderId="0" xfId="0" applyFont="1" applyAlignment="1">
      <alignment vertical="top" wrapText="1"/>
    </xf>
    <xf numFmtId="0" fontId="78" fillId="26" borderId="90" xfId="0" applyFont="1" applyFill="1" applyBorder="1" applyAlignment="1">
      <alignment horizontal="center" vertical="top" wrapText="1"/>
    </xf>
    <xf numFmtId="0" fontId="70" fillId="0" borderId="0" xfId="0" applyFont="1" applyAlignment="1">
      <alignment horizontal="center"/>
    </xf>
    <xf numFmtId="0" fontId="70" fillId="0" borderId="0" xfId="0" applyFont="1" applyBorder="1" applyAlignment="1">
      <alignment horizontal="center" wrapText="1"/>
    </xf>
    <xf numFmtId="0" fontId="78" fillId="0" borderId="0" xfId="0" applyFont="1" applyBorder="1" applyAlignment="1">
      <alignment horizontal="center" wrapText="1"/>
    </xf>
    <xf numFmtId="0" fontId="78" fillId="3" borderId="53" xfId="0" applyFont="1" applyFill="1" applyBorder="1" applyAlignment="1">
      <alignment horizontal="center" wrapText="1"/>
    </xf>
    <xf numFmtId="0" fontId="70" fillId="5" borderId="13" xfId="0" applyFont="1" applyFill="1" applyBorder="1" applyAlignment="1">
      <alignment horizontal="center" wrapText="1"/>
    </xf>
    <xf numFmtId="0" fontId="70" fillId="0" borderId="0" xfId="0" applyFont="1" applyBorder="1" applyAlignment="1">
      <alignment horizontal="center"/>
    </xf>
    <xf numFmtId="0" fontId="73" fillId="3" borderId="13" xfId="0" applyFont="1" applyFill="1" applyBorder="1"/>
    <xf numFmtId="0" fontId="70" fillId="3" borderId="0" xfId="0" applyFont="1" applyFill="1" applyBorder="1" applyAlignment="1">
      <alignment horizontal="center"/>
    </xf>
    <xf numFmtId="0" fontId="70" fillId="0" borderId="0" xfId="0" applyFont="1" applyBorder="1"/>
    <xf numFmtId="0" fontId="73" fillId="0" borderId="63" xfId="0" applyFont="1" applyFill="1" applyBorder="1"/>
    <xf numFmtId="0" fontId="73" fillId="0" borderId="13" xfId="0" applyFont="1" applyBorder="1"/>
    <xf numFmtId="0" fontId="73" fillId="0" borderId="13" xfId="0" applyFont="1" applyFill="1" applyBorder="1"/>
    <xf numFmtId="2" fontId="73" fillId="3" borderId="13" xfId="0" applyNumberFormat="1" applyFont="1" applyFill="1" applyBorder="1" applyAlignment="1">
      <alignment horizontal="right"/>
    </xf>
    <xf numFmtId="0" fontId="93" fillId="3" borderId="13" xfId="0" applyFont="1" applyFill="1" applyBorder="1"/>
    <xf numFmtId="2" fontId="73" fillId="3" borderId="13" xfId="0" applyNumberFormat="1" applyFont="1" applyFill="1" applyBorder="1"/>
    <xf numFmtId="181" fontId="73" fillId="0" borderId="13" xfId="0" applyNumberFormat="1" applyFont="1" applyBorder="1"/>
    <xf numFmtId="181" fontId="73" fillId="3" borderId="13" xfId="0" applyNumberFormat="1" applyFont="1" applyFill="1" applyBorder="1"/>
    <xf numFmtId="0" fontId="73" fillId="5" borderId="13" xfId="0" applyFont="1" applyFill="1" applyBorder="1"/>
    <xf numFmtId="181" fontId="73" fillId="0" borderId="13" xfId="0" applyNumberFormat="1" applyFont="1" applyFill="1" applyBorder="1"/>
    <xf numFmtId="181" fontId="73" fillId="5" borderId="13" xfId="0" applyNumberFormat="1" applyFont="1" applyFill="1" applyBorder="1"/>
    <xf numFmtId="0" fontId="73" fillId="0" borderId="0" xfId="0" applyFont="1" applyFill="1"/>
    <xf numFmtId="181" fontId="73" fillId="0" borderId="0" xfId="0" applyNumberFormat="1" applyFont="1" applyBorder="1"/>
    <xf numFmtId="181" fontId="73" fillId="0" borderId="0" xfId="0" applyNumberFormat="1" applyFont="1" applyFill="1" applyBorder="1"/>
    <xf numFmtId="179" fontId="73" fillId="3" borderId="13" xfId="0" applyNumberFormat="1" applyFont="1" applyFill="1" applyBorder="1"/>
    <xf numFmtId="0" fontId="75" fillId="5" borderId="13" xfId="0" applyFont="1" applyFill="1" applyBorder="1"/>
    <xf numFmtId="2" fontId="73" fillId="5" borderId="13" xfId="0" applyNumberFormat="1" applyFont="1" applyFill="1" applyBorder="1"/>
    <xf numFmtId="182" fontId="73" fillId="5" borderId="13" xfId="0" applyNumberFormat="1" applyFont="1" applyFill="1" applyBorder="1"/>
    <xf numFmtId="0" fontId="73" fillId="5" borderId="38" xfId="0" applyFont="1" applyFill="1" applyBorder="1"/>
    <xf numFmtId="0" fontId="73" fillId="0" borderId="0" xfId="0" applyFont="1" applyFill="1" applyBorder="1"/>
    <xf numFmtId="179" fontId="73" fillId="0" borderId="0" xfId="0" applyNumberFormat="1" applyFont="1"/>
    <xf numFmtId="181" fontId="73" fillId="0" borderId="0" xfId="0" applyNumberFormat="1" applyFont="1"/>
    <xf numFmtId="0" fontId="70" fillId="0" borderId="0" xfId="0" applyFont="1" applyFill="1" applyBorder="1"/>
    <xf numFmtId="179" fontId="73" fillId="3" borderId="13" xfId="0" applyNumberFormat="1" applyFont="1" applyFill="1" applyBorder="1" applyAlignment="1">
      <alignment horizontal="right"/>
    </xf>
    <xf numFmtId="179" fontId="73" fillId="0" borderId="13" xfId="0" applyNumberFormat="1" applyFont="1" applyFill="1" applyBorder="1"/>
    <xf numFmtId="182" fontId="73" fillId="0" borderId="13" xfId="0" applyNumberFormat="1" applyFont="1" applyFill="1" applyBorder="1"/>
    <xf numFmtId="182" fontId="73" fillId="0" borderId="0" xfId="0" applyNumberFormat="1" applyFont="1" applyFill="1"/>
    <xf numFmtId="0" fontId="73" fillId="0" borderId="0" xfId="0" applyFont="1" applyFill="1" applyBorder="1" applyAlignment="1">
      <alignment vertical="center"/>
    </xf>
    <xf numFmtId="0" fontId="73" fillId="3" borderId="0" xfId="0" applyFont="1" applyFill="1" applyBorder="1" applyAlignment="1">
      <alignment vertical="center"/>
    </xf>
    <xf numFmtId="0" fontId="73" fillId="0" borderId="13" xfId="0" applyFont="1" applyFill="1" applyBorder="1" applyAlignment="1">
      <alignment vertical="center"/>
    </xf>
    <xf numFmtId="181" fontId="73" fillId="0" borderId="13" xfId="0" applyNumberFormat="1" applyFont="1" applyBorder="1" applyAlignment="1">
      <alignment vertical="center"/>
    </xf>
    <xf numFmtId="0" fontId="73" fillId="0" borderId="0" xfId="0" applyFont="1" applyAlignment="1">
      <alignment vertical="center"/>
    </xf>
    <xf numFmtId="178" fontId="73" fillId="0" borderId="0" xfId="0" applyNumberFormat="1" applyFont="1" applyBorder="1"/>
    <xf numFmtId="183" fontId="73" fillId="0" borderId="0" xfId="0" applyNumberFormat="1" applyFont="1" applyBorder="1"/>
    <xf numFmtId="0" fontId="0" fillId="24" borderId="0" xfId="0" applyFill="1" applyBorder="1" applyAlignment="1">
      <alignment horizontal="center"/>
    </xf>
    <xf numFmtId="0" fontId="0" fillId="26" borderId="0" xfId="0" applyFill="1" applyBorder="1"/>
    <xf numFmtId="0" fontId="0" fillId="3" borderId="0" xfId="0" applyFill="1" applyBorder="1" applyAlignment="1"/>
    <xf numFmtId="0" fontId="0" fillId="24" borderId="0" xfId="0" applyFill="1" applyBorder="1" applyAlignment="1">
      <alignment horizontal="right" vertical="top"/>
    </xf>
    <xf numFmtId="0" fontId="0" fillId="45" borderId="0" xfId="0" applyFill="1" applyBorder="1"/>
    <xf numFmtId="0" fontId="19" fillId="7" borderId="10" xfId="0" applyFont="1" applyFill="1" applyBorder="1" applyAlignment="1">
      <alignment horizontal="left" wrapText="1"/>
    </xf>
    <xf numFmtId="0" fontId="19" fillId="26" borderId="11" xfId="0" applyFont="1" applyFill="1" applyBorder="1" applyAlignment="1">
      <alignment horizontal="left" wrapText="1"/>
    </xf>
    <xf numFmtId="0" fontId="19" fillId="22" borderId="11" xfId="0" applyFont="1" applyFill="1" applyBorder="1" applyAlignment="1">
      <alignment horizontal="left" wrapText="1"/>
    </xf>
    <xf numFmtId="0" fontId="19" fillId="27" borderId="11" xfId="0" applyFont="1" applyFill="1" applyBorder="1" applyAlignment="1">
      <alignment horizontal="left" wrapText="1"/>
    </xf>
    <xf numFmtId="0" fontId="19" fillId="8" borderId="11" xfId="0" applyFont="1" applyFill="1" applyBorder="1" applyAlignment="1">
      <alignment horizontal="left" wrapText="1"/>
    </xf>
    <xf numFmtId="0" fontId="19" fillId="3" borderId="11" xfId="0" applyFont="1" applyFill="1" applyBorder="1" applyAlignment="1">
      <alignment horizontal="left" wrapText="1"/>
    </xf>
    <xf numFmtId="0" fontId="19" fillId="5" borderId="11" xfId="0" applyFont="1" applyFill="1" applyBorder="1" applyAlignment="1">
      <alignment horizontal="left" wrapText="1"/>
    </xf>
    <xf numFmtId="0" fontId="19" fillId="18" borderId="12" xfId="0" applyFont="1" applyFill="1" applyBorder="1" applyAlignment="1">
      <alignment wrapText="1"/>
    </xf>
    <xf numFmtId="0" fontId="16" fillId="24" borderId="13" xfId="0" applyFont="1" applyFill="1" applyBorder="1" applyAlignment="1">
      <alignment horizontal="left" vertical="top" wrapText="1"/>
    </xf>
    <xf numFmtId="0" fontId="16" fillId="0" borderId="11" xfId="0" applyFont="1" applyBorder="1" applyAlignment="1">
      <alignment horizontal="left" wrapText="1"/>
    </xf>
    <xf numFmtId="0" fontId="16" fillId="0" borderId="11" xfId="0" applyFont="1" applyBorder="1" applyAlignment="1">
      <alignment horizontal="left"/>
    </xf>
    <xf numFmtId="0" fontId="27" fillId="24" borderId="53" xfId="0" applyFont="1" applyFill="1" applyBorder="1" applyAlignment="1">
      <alignment horizontal="left" vertical="center" wrapText="1"/>
    </xf>
    <xf numFmtId="0" fontId="16" fillId="24" borderId="16" xfId="0" applyFont="1" applyFill="1" applyBorder="1" applyAlignment="1">
      <alignment horizontal="left" wrapText="1"/>
    </xf>
    <xf numFmtId="0" fontId="27" fillId="24" borderId="53" xfId="0" applyFont="1" applyFill="1" applyBorder="1" applyAlignment="1">
      <alignment horizontal="left" wrapText="1"/>
    </xf>
    <xf numFmtId="0" fontId="17" fillId="25" borderId="0" xfId="0" applyFont="1" applyFill="1" applyBorder="1" applyAlignment="1">
      <alignment horizontal="center"/>
    </xf>
    <xf numFmtId="0" fontId="16" fillId="24" borderId="13" xfId="0" applyFont="1" applyFill="1" applyBorder="1" applyAlignment="1">
      <alignment vertical="center" wrapText="1"/>
    </xf>
    <xf numFmtId="3" fontId="32" fillId="22" borderId="24" xfId="0" applyNumberFormat="1" applyFont="1" applyFill="1" applyBorder="1" applyAlignment="1">
      <alignment horizontal="center"/>
    </xf>
    <xf numFmtId="0" fontId="28" fillId="24" borderId="0" xfId="0" applyFont="1" applyFill="1" applyBorder="1" applyAlignment="1">
      <alignment horizontal="center"/>
    </xf>
    <xf numFmtId="3" fontId="31" fillId="11" borderId="0" xfId="0" applyNumberFormat="1" applyFont="1" applyFill="1" applyBorder="1" applyAlignment="1">
      <alignment horizontal="center" wrapText="1"/>
    </xf>
    <xf numFmtId="3" fontId="32" fillId="22" borderId="25" xfId="0" applyNumberFormat="1" applyFont="1" applyFill="1" applyBorder="1" applyAlignment="1">
      <alignment horizontal="center"/>
    </xf>
    <xf numFmtId="0" fontId="32" fillId="22" borderId="24" xfId="0" applyFont="1" applyFill="1" applyBorder="1" applyAlignment="1">
      <alignment horizontal="center"/>
    </xf>
    <xf numFmtId="3" fontId="27" fillId="26" borderId="13" xfId="0" applyNumberFormat="1" applyFont="1" applyFill="1" applyBorder="1" applyAlignment="1">
      <alignment horizontal="left"/>
    </xf>
    <xf numFmtId="3" fontId="27" fillId="26" borderId="13" xfId="0" applyNumberFormat="1" applyFont="1" applyFill="1" applyBorder="1" applyAlignment="1">
      <alignment horizontal="left" vertical="top" wrapText="1"/>
    </xf>
    <xf numFmtId="3" fontId="32" fillId="22" borderId="47" xfId="0" applyNumberFormat="1" applyFont="1" applyFill="1" applyBorder="1" applyAlignment="1">
      <alignment horizontal="center"/>
    </xf>
    <xf numFmtId="3" fontId="32" fillId="22" borderId="45" xfId="0" applyNumberFormat="1" applyFont="1" applyFill="1" applyBorder="1" applyAlignment="1">
      <alignment horizontal="center"/>
    </xf>
    <xf numFmtId="3" fontId="32" fillId="22" borderId="23" xfId="0" applyNumberFormat="1" applyFont="1" applyFill="1" applyBorder="1" applyAlignment="1">
      <alignment horizontal="center"/>
    </xf>
    <xf numFmtId="3" fontId="32" fillId="22" borderId="14" xfId="0" applyNumberFormat="1" applyFont="1" applyFill="1" applyBorder="1" applyAlignment="1">
      <alignment horizontal="center"/>
    </xf>
    <xf numFmtId="3" fontId="43" fillId="0" borderId="24" xfId="0" applyNumberFormat="1" applyFont="1" applyBorder="1" applyAlignment="1">
      <alignment horizontal="center"/>
    </xf>
    <xf numFmtId="0" fontId="39" fillId="22" borderId="0" xfId="0" applyFont="1" applyFill="1" applyBorder="1" applyAlignment="1">
      <alignment horizontal="center"/>
    </xf>
    <xf numFmtId="3" fontId="0" fillId="26" borderId="16" xfId="0" applyNumberFormat="1" applyFont="1" applyFill="1" applyBorder="1" applyAlignment="1">
      <alignment horizontal="center"/>
    </xf>
    <xf numFmtId="3" fontId="0" fillId="26" borderId="16" xfId="0" applyNumberFormat="1" applyFill="1" applyBorder="1" applyAlignment="1">
      <alignment horizontal="center"/>
    </xf>
    <xf numFmtId="3" fontId="42" fillId="11" borderId="0" xfId="0" applyNumberFormat="1" applyFont="1" applyFill="1" applyBorder="1" applyAlignment="1">
      <alignment horizontal="left" wrapText="1"/>
    </xf>
    <xf numFmtId="0" fontId="16" fillId="24" borderId="13" xfId="0" applyFont="1" applyFill="1" applyBorder="1" applyAlignment="1">
      <alignment horizontal="center"/>
    </xf>
    <xf numFmtId="0" fontId="25" fillId="24" borderId="13" xfId="0" applyFont="1" applyFill="1" applyBorder="1" applyAlignment="1">
      <alignment horizontal="center" wrapText="1"/>
    </xf>
    <xf numFmtId="0" fontId="16" fillId="0" borderId="13" xfId="0" applyFont="1" applyFill="1" applyBorder="1" applyAlignment="1">
      <alignment horizontal="center"/>
    </xf>
    <xf numFmtId="3" fontId="25" fillId="0" borderId="24" xfId="0" applyNumberFormat="1" applyFont="1" applyBorder="1" applyAlignment="1">
      <alignment horizontal="center"/>
    </xf>
    <xf numFmtId="0" fontId="19" fillId="24" borderId="13" xfId="0" applyFont="1" applyFill="1" applyBorder="1" applyAlignment="1">
      <alignment horizontal="center" wrapText="1"/>
    </xf>
    <xf numFmtId="0" fontId="19" fillId="11" borderId="0" xfId="0" applyFont="1" applyFill="1" applyBorder="1" applyAlignment="1">
      <alignment horizontal="left"/>
    </xf>
    <xf numFmtId="0" fontId="28" fillId="24" borderId="41" xfId="0" applyFont="1" applyFill="1" applyBorder="1" applyAlignment="1">
      <alignment horizontal="center" wrapText="1"/>
    </xf>
    <xf numFmtId="0" fontId="21" fillId="24" borderId="54" xfId="0" applyFont="1" applyFill="1" applyBorder="1" applyAlignment="1">
      <alignment horizontal="right"/>
    </xf>
    <xf numFmtId="0" fontId="21" fillId="24" borderId="30" xfId="0" applyFont="1" applyFill="1" applyBorder="1" applyAlignment="1">
      <alignment horizontal="right"/>
    </xf>
    <xf numFmtId="3" fontId="0" fillId="24" borderId="0" xfId="0" applyNumberFormat="1" applyFont="1" applyFill="1" applyBorder="1" applyAlignment="1">
      <alignment horizontal="left" wrapText="1"/>
    </xf>
    <xf numFmtId="3" fontId="0" fillId="24" borderId="0" xfId="0" applyNumberFormat="1" applyFont="1" applyFill="1" applyBorder="1" applyAlignment="1">
      <alignment horizontal="left" vertical="top" wrapText="1"/>
    </xf>
    <xf numFmtId="0" fontId="0" fillId="24" borderId="13" xfId="0" applyFill="1" applyBorder="1" applyAlignment="1">
      <alignment horizontal="center" wrapText="1"/>
    </xf>
    <xf numFmtId="0" fontId="28" fillId="0" borderId="22" xfId="0" applyFont="1" applyBorder="1" applyAlignment="1">
      <alignment horizontal="center" wrapText="1"/>
    </xf>
    <xf numFmtId="0" fontId="21" fillId="0" borderId="28" xfId="0" applyFont="1" applyBorder="1" applyAlignment="1">
      <alignment horizontal="right"/>
    </xf>
    <xf numFmtId="0" fontId="21" fillId="0" borderId="30" xfId="0" applyFont="1" applyBorder="1" applyAlignment="1">
      <alignment horizontal="right"/>
    </xf>
    <xf numFmtId="0" fontId="38" fillId="24" borderId="0" xfId="0" applyFont="1" applyFill="1" applyBorder="1" applyAlignment="1">
      <alignment horizontal="center"/>
    </xf>
    <xf numFmtId="0" fontId="42" fillId="11" borderId="0" xfId="0" applyFont="1" applyFill="1" applyBorder="1" applyAlignment="1">
      <alignment horizontal="center" wrapText="1"/>
    </xf>
    <xf numFmtId="0" fontId="42" fillId="22" borderId="0" xfId="0" applyFont="1" applyFill="1" applyBorder="1" applyAlignment="1">
      <alignment horizontal="center" wrapText="1"/>
    </xf>
    <xf numFmtId="0" fontId="21" fillId="11" borderId="0" xfId="0" applyFont="1" applyFill="1" applyBorder="1" applyAlignment="1">
      <alignment horizontal="left" vertical="top" wrapText="1"/>
    </xf>
    <xf numFmtId="0" fontId="19" fillId="24" borderId="13" xfId="0" applyFont="1" applyFill="1" applyBorder="1" applyAlignment="1">
      <alignment horizontal="center"/>
    </xf>
    <xf numFmtId="0" fontId="19" fillId="0" borderId="91" xfId="0" applyFont="1" applyBorder="1" applyAlignment="1">
      <alignment horizontal="center"/>
    </xf>
    <xf numFmtId="0" fontId="20" fillId="0" borderId="90" xfId="0" applyFont="1" applyBorder="1" applyAlignment="1">
      <alignment horizontal="center"/>
    </xf>
    <xf numFmtId="0" fontId="28" fillId="0" borderId="41" xfId="0" applyFont="1" applyBorder="1" applyAlignment="1">
      <alignment horizontal="center" wrapText="1"/>
    </xf>
    <xf numFmtId="0" fontId="19" fillId="0" borderId="81" xfId="0" applyFont="1" applyBorder="1" applyAlignment="1">
      <alignment horizontal="center"/>
    </xf>
    <xf numFmtId="0" fontId="42" fillId="11" borderId="0" xfId="0" applyFont="1" applyFill="1" applyBorder="1" applyAlignment="1">
      <alignment horizontal="left" wrapText="1"/>
    </xf>
    <xf numFmtId="0" fontId="42" fillId="26" borderId="0" xfId="0" applyFont="1" applyFill="1" applyBorder="1" applyAlignment="1">
      <alignment horizontal="left" wrapText="1"/>
    </xf>
    <xf numFmtId="0" fontId="51" fillId="11" borderId="0" xfId="0" applyFont="1" applyFill="1" applyBorder="1" applyAlignment="1">
      <alignment horizontal="center"/>
    </xf>
    <xf numFmtId="0" fontId="45" fillId="26" borderId="0" xfId="0" applyFont="1" applyFill="1" applyBorder="1" applyAlignment="1">
      <alignment horizontal="left" wrapText="1"/>
    </xf>
    <xf numFmtId="0" fontId="45" fillId="26" borderId="65" xfId="0" applyFont="1" applyFill="1" applyBorder="1" applyAlignment="1">
      <alignment horizontal="left" wrapText="1"/>
    </xf>
    <xf numFmtId="0" fontId="38" fillId="22" borderId="0" xfId="0" applyFont="1" applyFill="1" applyBorder="1" applyAlignment="1">
      <alignment horizontal="center"/>
    </xf>
    <xf numFmtId="3" fontId="20" fillId="0" borderId="61" xfId="0" applyNumberFormat="1" applyFont="1" applyBorder="1" applyAlignment="1">
      <alignment horizontal="center"/>
    </xf>
    <xf numFmtId="0" fontId="20" fillId="24" borderId="13" xfId="0" applyFont="1" applyFill="1" applyBorder="1" applyAlignment="1">
      <alignment horizontal="center" wrapText="1"/>
    </xf>
    <xf numFmtId="3" fontId="42" fillId="11" borderId="37" xfId="0" applyNumberFormat="1" applyFont="1" applyFill="1" applyBorder="1" applyAlignment="1">
      <alignment horizontal="left" wrapText="1"/>
    </xf>
    <xf numFmtId="3" fontId="20" fillId="0" borderId="14" xfId="0" applyNumberFormat="1" applyFont="1" applyBorder="1" applyAlignment="1">
      <alignment horizontal="center"/>
    </xf>
    <xf numFmtId="0" fontId="42" fillId="11" borderId="0" xfId="0" applyFont="1" applyFill="1" applyBorder="1" applyAlignment="1">
      <alignment horizontal="left"/>
    </xf>
    <xf numFmtId="0" fontId="19" fillId="24" borderId="0" xfId="0" applyFont="1" applyFill="1" applyBorder="1" applyAlignment="1">
      <alignment horizontal="left" wrapText="1"/>
    </xf>
    <xf numFmtId="0" fontId="0" fillId="24" borderId="0" xfId="0" applyFont="1" applyFill="1" applyBorder="1" applyAlignment="1">
      <alignment horizontal="left" vertical="top" wrapText="1"/>
    </xf>
    <xf numFmtId="0" fontId="45" fillId="0" borderId="13" xfId="0" applyFont="1" applyBorder="1" applyAlignment="1">
      <alignment horizontal="center" wrapText="1"/>
    </xf>
    <xf numFmtId="0" fontId="0" fillId="0" borderId="13" xfId="0" applyBorder="1" applyAlignment="1">
      <alignment horizontal="center"/>
    </xf>
    <xf numFmtId="0" fontId="0" fillId="0" borderId="13" xfId="0" applyFont="1" applyBorder="1" applyAlignment="1">
      <alignment horizontal="right"/>
    </xf>
    <xf numFmtId="0" fontId="25" fillId="0" borderId="29" xfId="0" applyFont="1" applyFill="1" applyBorder="1" applyAlignment="1">
      <alignment horizontal="left" vertical="top" wrapText="1"/>
    </xf>
    <xf numFmtId="0" fontId="25" fillId="26" borderId="29" xfId="0" applyFont="1" applyFill="1" applyBorder="1" applyAlignment="1">
      <alignment horizontal="left" vertical="top" wrapText="1"/>
    </xf>
    <xf numFmtId="3" fontId="43" fillId="22" borderId="9" xfId="0" applyNumberFormat="1" applyFont="1" applyFill="1" applyBorder="1" applyAlignment="1">
      <alignment horizontal="center"/>
    </xf>
    <xf numFmtId="0" fontId="16" fillId="26" borderId="29" xfId="0" applyFont="1" applyFill="1" applyBorder="1" applyAlignment="1">
      <alignment horizontal="left" vertical="top" wrapText="1"/>
    </xf>
    <xf numFmtId="3" fontId="43" fillId="22" borderId="67" xfId="0" applyNumberFormat="1" applyFont="1" applyFill="1" applyBorder="1" applyAlignment="1">
      <alignment horizontal="center"/>
    </xf>
    <xf numFmtId="0" fontId="43" fillId="22" borderId="9" xfId="0" applyFont="1" applyFill="1" applyBorder="1" applyAlignment="1">
      <alignment horizontal="center"/>
    </xf>
    <xf numFmtId="3" fontId="43" fillId="22" borderId="61" xfId="0" applyNumberFormat="1" applyFont="1" applyFill="1" applyBorder="1" applyAlignment="1">
      <alignment horizontal="center"/>
    </xf>
    <xf numFmtId="3" fontId="43" fillId="22" borderId="90" xfId="0" applyNumberFormat="1" applyFont="1" applyFill="1" applyBorder="1" applyAlignment="1">
      <alignment horizontal="center"/>
    </xf>
    <xf numFmtId="0" fontId="16" fillId="24" borderId="13" xfId="0" applyFont="1" applyFill="1" applyBorder="1" applyAlignment="1">
      <alignment horizontal="center" wrapText="1"/>
    </xf>
    <xf numFmtId="3" fontId="43" fillId="22" borderId="13" xfId="0" applyNumberFormat="1" applyFont="1" applyFill="1" applyBorder="1" applyAlignment="1">
      <alignment horizontal="center"/>
    </xf>
    <xf numFmtId="0" fontId="43" fillId="24" borderId="13" xfId="0" applyFont="1" applyFill="1" applyBorder="1" applyAlignment="1">
      <alignment horizontal="center" wrapText="1"/>
    </xf>
    <xf numFmtId="0" fontId="25" fillId="26" borderId="13" xfId="0" applyFont="1" applyFill="1" applyBorder="1" applyAlignment="1">
      <alignment horizontal="center" vertical="top" wrapText="1"/>
    </xf>
    <xf numFmtId="0" fontId="39" fillId="24" borderId="0" xfId="0" applyFont="1" applyFill="1" applyBorder="1" applyAlignment="1">
      <alignment horizontal="center"/>
    </xf>
    <xf numFmtId="3" fontId="38" fillId="26" borderId="13" xfId="0" applyNumberFormat="1" applyFont="1" applyFill="1" applyBorder="1" applyAlignment="1">
      <alignment horizontal="center"/>
    </xf>
    <xf numFmtId="0" fontId="19" fillId="0" borderId="28" xfId="0" applyFont="1" applyBorder="1" applyAlignment="1">
      <alignment horizontal="right"/>
    </xf>
    <xf numFmtId="0" fontId="20" fillId="0" borderId="93" xfId="0" applyFont="1" applyBorder="1" applyAlignment="1">
      <alignment horizontal="right"/>
    </xf>
    <xf numFmtId="0" fontId="19" fillId="0" borderId="22" xfId="0" applyFont="1" applyBorder="1" applyAlignment="1">
      <alignment horizontal="center"/>
    </xf>
    <xf numFmtId="0" fontId="20" fillId="0" borderId="28" xfId="0" applyFont="1" applyBorder="1" applyAlignment="1">
      <alignment horizontal="right"/>
    </xf>
    <xf numFmtId="0" fontId="20" fillId="0" borderId="41" xfId="0" applyFont="1" applyBorder="1" applyAlignment="1">
      <alignment horizontal="right"/>
    </xf>
    <xf numFmtId="0" fontId="20" fillId="0" borderId="22" xfId="0" applyFont="1" applyBorder="1" applyAlignment="1">
      <alignment horizontal="right"/>
    </xf>
    <xf numFmtId="0" fontId="19" fillId="0" borderId="50" xfId="0" applyFont="1" applyBorder="1" applyAlignment="1">
      <alignment horizontal="right"/>
    </xf>
    <xf numFmtId="0" fontId="20" fillId="0" borderId="90" xfId="0" applyFont="1" applyBorder="1" applyAlignment="1">
      <alignment horizontal="right"/>
    </xf>
    <xf numFmtId="0" fontId="19" fillId="0" borderId="92" xfId="0" applyFont="1" applyBorder="1" applyAlignment="1">
      <alignment horizontal="right"/>
    </xf>
    <xf numFmtId="0" fontId="70" fillId="3" borderId="90" xfId="0" applyFont="1" applyFill="1" applyBorder="1" applyAlignment="1">
      <alignment horizontal="center" vertical="top" wrapText="1"/>
    </xf>
    <xf numFmtId="0" fontId="70" fillId="5" borderId="13" xfId="0" applyFont="1" applyFill="1" applyBorder="1" applyAlignment="1">
      <alignment horizontal="left" vertical="top" wrapText="1"/>
    </xf>
    <xf numFmtId="0" fontId="75" fillId="0" borderId="61" xfId="0" applyFont="1" applyBorder="1" applyAlignment="1">
      <alignment horizontal="center"/>
    </xf>
    <xf numFmtId="0" fontId="76" fillId="0" borderId="9" xfId="0" applyFont="1" applyFill="1" applyBorder="1" applyAlignment="1">
      <alignment horizontal="center" vertical="center"/>
    </xf>
    <xf numFmtId="0" fontId="76" fillId="0" borderId="9" xfId="0" applyFont="1" applyFill="1" applyBorder="1" applyAlignment="1">
      <alignment horizontal="right"/>
    </xf>
    <xf numFmtId="0" fontId="45" fillId="24" borderId="13" xfId="0" applyFont="1" applyFill="1" applyBorder="1" applyAlignment="1">
      <alignment horizontal="center"/>
    </xf>
    <xf numFmtId="0" fontId="0" fillId="24" borderId="13" xfId="0" applyFont="1" applyFill="1" applyBorder="1" applyAlignment="1">
      <alignment horizontal="left" wrapText="1"/>
    </xf>
    <xf numFmtId="0" fontId="0" fillId="24" borderId="13" xfId="0" applyFont="1" applyFill="1" applyBorder="1" applyAlignment="1">
      <alignment horizontal="center" wrapText="1"/>
    </xf>
    <xf numFmtId="0" fontId="0" fillId="24" borderId="13" xfId="0" applyFont="1" applyFill="1" applyBorder="1" applyAlignment="1">
      <alignment horizontal="center" vertical="top" wrapText="1"/>
    </xf>
    <xf numFmtId="0" fontId="55" fillId="25" borderId="0" xfId="0" applyFont="1" applyFill="1" applyBorder="1" applyAlignment="1">
      <alignment horizontal="center"/>
    </xf>
    <xf numFmtId="0" fontId="0" fillId="7" borderId="0" xfId="0" applyFont="1" applyFill="1" applyBorder="1" applyAlignment="1">
      <alignment horizontal="center"/>
    </xf>
    <xf numFmtId="0" fontId="54" fillId="0" borderId="0" xfId="0" applyFont="1" applyFill="1" applyBorder="1" applyAlignment="1">
      <alignment horizontal="right"/>
    </xf>
    <xf numFmtId="0" fontId="25" fillId="0" borderId="13" xfId="0" applyFont="1" applyBorder="1" applyAlignment="1">
      <alignment horizontal="center" wrapText="1"/>
    </xf>
    <xf numFmtId="0" fontId="45" fillId="0" borderId="13" xfId="0" applyFont="1" applyBorder="1" applyAlignment="1">
      <alignment horizontal="center"/>
    </xf>
    <xf numFmtId="0" fontId="0" fillId="26" borderId="0" xfId="0" applyFont="1" applyFill="1" applyBorder="1" applyAlignment="1">
      <alignment horizontal="left" vertical="center" wrapText="1"/>
    </xf>
    <xf numFmtId="0" fontId="45" fillId="24" borderId="0" xfId="0" applyFont="1" applyFill="1" applyBorder="1" applyAlignment="1">
      <alignment horizontal="center" wrapText="1"/>
    </xf>
    <xf numFmtId="0" fontId="45" fillId="0" borderId="13" xfId="0" applyFont="1" applyBorder="1" applyAlignment="1">
      <alignment horizontal="center" vertical="center" wrapText="1"/>
    </xf>
    <xf numFmtId="0" fontId="0" fillId="0" borderId="28" xfId="0" applyFont="1" applyBorder="1" applyAlignment="1">
      <alignment horizontal="left"/>
    </xf>
    <xf numFmtId="0" fontId="0" fillId="0" borderId="30" xfId="0" applyFont="1" applyBorder="1" applyAlignment="1">
      <alignment horizontal="left"/>
    </xf>
    <xf numFmtId="0" fontId="45" fillId="0" borderId="22" xfId="0" applyFont="1" applyBorder="1" applyAlignment="1">
      <alignment horizontal="left"/>
    </xf>
  </cellXfs>
  <cellStyles count="4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9"/>
    <cellStyle name="Good" xfId="30"/>
    <cellStyle name="Heading 1" xfId="31"/>
    <cellStyle name="Heading 2" xfId="32"/>
    <cellStyle name="Heading 3" xfId="33"/>
    <cellStyle name="Heading 4" xfId="34"/>
    <cellStyle name="Linked Cell" xfId="35"/>
    <cellStyle name="Migliaia" xfId="28" builtinId="3"/>
    <cellStyle name="Neutral" xfId="36"/>
    <cellStyle name="Normale" xfId="0" builtinId="0"/>
    <cellStyle name="Normalny_Arkusz1" xfId="37"/>
    <cellStyle name="Note" xfId="38"/>
    <cellStyle name="Percentuale" xfId="39" builtinId="5"/>
    <cellStyle name="Title" xfId="40"/>
    <cellStyle name="Total" xfId="41"/>
    <cellStyle name="Warning Text" xfId="4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sz="1000" b="1" i="0" u="none" strike="noStrike" baseline="0">
                <a:solidFill>
                  <a:srgbClr val="000000"/>
                </a:solidFill>
                <a:latin typeface="Arial"/>
                <a:ea typeface="Arial"/>
                <a:cs typeface="Arial"/>
              </a:defRPr>
            </a:pPr>
            <a:r>
              <a:t>Działalność samorządu  -  Emisje CO2e na sektor</a:t>
            </a:r>
          </a:p>
        </c:rich>
      </c:tx>
      <c:layout>
        <c:manualLayout>
          <c:xMode val="edge"/>
          <c:yMode val="edge"/>
          <c:x val="0.31005917159763313"/>
          <c:y val="2.9227557411273485E-2"/>
        </c:manualLayout>
      </c:layout>
      <c:spPr>
        <a:noFill/>
        <a:ln w="25400">
          <a:noFill/>
        </a:ln>
      </c:spPr>
    </c:title>
    <c:plotArea>
      <c:layout>
        <c:manualLayout>
          <c:layoutTarget val="inner"/>
          <c:xMode val="edge"/>
          <c:yMode val="edge"/>
          <c:x val="0.22958579881656804"/>
          <c:y val="0.3277661795407098"/>
          <c:w val="0.24615384615384617"/>
          <c:h val="0.43423799582463468"/>
        </c:manualLayout>
      </c:layout>
      <c:pieChart>
        <c:varyColors val="1"/>
        <c:ser>
          <c:idx val="0"/>
          <c:order val="0"/>
          <c:spPr>
            <a:solidFill>
              <a:srgbClr val="9999FF"/>
            </a:solidFill>
            <a:ln w="12700">
              <a:solidFill>
                <a:srgbClr val="000000"/>
              </a:solidFill>
              <a:prstDash val="solid"/>
            </a:ln>
          </c:spPr>
          <c:explosion val="25"/>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dPt>
          <c:dLbls>
            <c:dLbl>
              <c:idx val="0"/>
              <c:dLblPos val="bestFit"/>
              <c:showCatName val="1"/>
              <c:showPercent val="1"/>
            </c:dLbl>
            <c:dLbl>
              <c:idx val="1"/>
              <c:dLblPos val="bestFit"/>
              <c:showCatName val="1"/>
              <c:showPercent val="1"/>
            </c:dLbl>
            <c:dLbl>
              <c:idx val="2"/>
              <c:dLblPos val="bestFit"/>
              <c:showCatName val="1"/>
              <c:showPercent val="1"/>
            </c:dLbl>
            <c:dLbl>
              <c:idx val="3"/>
              <c:dLblPos val="bestFit"/>
              <c:showCatName val="1"/>
              <c:showPercent val="1"/>
            </c:dLbl>
            <c:dLbl>
              <c:idx val="4"/>
              <c:dLblPos val="bestFit"/>
              <c:showCatName val="1"/>
              <c:showPercent val="1"/>
            </c:dLbl>
            <c:dLbl>
              <c:idx val="5"/>
              <c:dLblPos val="bestFit"/>
              <c:showCatName val="1"/>
              <c:showPercent val="1"/>
            </c:dLbl>
            <c:dLbl>
              <c:idx val="6"/>
              <c:dLblPos val="bestFit"/>
              <c:showCatName val="1"/>
              <c:showPercent val="1"/>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it-IT"/>
              </a:p>
            </c:txPr>
            <c:showCatName val="1"/>
            <c:showPercent val="1"/>
          </c:dLbls>
          <c:cat>
            <c:strRef>
              <c:f>'Sam-Podsumowanie'!$B$10:$B$16</c:f>
              <c:strCache>
                <c:ptCount val="7"/>
                <c:pt idx="0">
                  <c:v>Budynki </c:v>
                </c:pt>
                <c:pt idx="1">
                  <c:v>Pojazdy </c:v>
                </c:pt>
                <c:pt idx="2">
                  <c:v>Oświetlenie publiczne </c:v>
                </c:pt>
                <c:pt idx="3">
                  <c:v>Woda i ścieki </c:v>
                </c:pt>
                <c:pt idx="4">
                  <c:v>Składowanie odpadów (samorząd) </c:v>
                </c:pt>
                <c:pt idx="5">
                  <c:v>Lokalna produkcje energii odnawialnej (samorząd) </c:v>
                </c:pt>
                <c:pt idx="6">
                  <c:v>Lokalna produkcje energii nieodnawialnej (samorząd) </c:v>
                </c:pt>
              </c:strCache>
            </c:strRef>
          </c:cat>
          <c:val>
            <c:numRef>
              <c:f>'Sam-Podsumowanie'!$D$10:$D$16</c:f>
              <c:numCache>
                <c:formatCode>#,##0</c:formatCode>
                <c:ptCount val="7"/>
                <c:pt idx="0">
                  <c:v>71446.764806585954</c:v>
                </c:pt>
                <c:pt idx="1">
                  <c:v>37964.630553384341</c:v>
                </c:pt>
                <c:pt idx="2">
                  <c:v>21237.288794</c:v>
                </c:pt>
                <c:pt idx="3">
                  <c:v>26141.070322805528</c:v>
                </c:pt>
                <c:pt idx="4">
                  <c:v>11624.565090992999</c:v>
                </c:pt>
                <c:pt idx="5">
                  <c:v>4606.5761918784656</c:v>
                </c:pt>
                <c:pt idx="6">
                  <c:v>33732.818898114492</c:v>
                </c:pt>
              </c:numCache>
            </c:numRef>
          </c:val>
        </c:ser>
        <c:firstSliceAng val="0"/>
      </c:pieChart>
      <c:spPr>
        <a:noFill/>
        <a:ln w="25400">
          <a:noFill/>
        </a:ln>
      </c:spPr>
    </c:plotArea>
    <c:legend>
      <c:legendPos val="r"/>
      <c:layout>
        <c:manualLayout>
          <c:xMode val="edge"/>
          <c:yMode val="edge"/>
          <c:wMode val="edge"/>
          <c:hMode val="edge"/>
          <c:x val="0.70059171597633141"/>
          <c:y val="0.41336116910229648"/>
          <c:w val="0.99053254437869831"/>
          <c:h val="0.67849686847599167"/>
        </c:manualLayout>
      </c:layout>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it-IT"/>
        </a:p>
      </c:txPr>
    </c:legend>
    <c:dispBlanksAs val="zero"/>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it-IT"/>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sz="1000" b="1" i="0" u="none" strike="noStrike" baseline="0">
                <a:solidFill>
                  <a:srgbClr val="000000"/>
                </a:solidFill>
                <a:latin typeface="Arial"/>
                <a:ea typeface="Arial"/>
                <a:cs typeface="Arial"/>
              </a:defRPr>
            </a:pPr>
            <a:r>
              <a:t>Działalność samorządu  -  Emisje CO2e na źródło</a:t>
            </a:r>
          </a:p>
        </c:rich>
      </c:tx>
      <c:layout>
        <c:manualLayout>
          <c:xMode val="edge"/>
          <c:yMode val="edge"/>
          <c:x val="0.26852857678504471"/>
          <c:y val="2.9942756494936152E-2"/>
        </c:manualLayout>
      </c:layout>
      <c:spPr>
        <a:noFill/>
        <a:ln w="25400">
          <a:noFill/>
        </a:ln>
      </c:spPr>
    </c:title>
    <c:plotArea>
      <c:layout>
        <c:manualLayout>
          <c:layoutTarget val="inner"/>
          <c:xMode val="edge"/>
          <c:yMode val="edge"/>
          <c:x val="0.25563923181938097"/>
          <c:y val="0.35535029525876666"/>
          <c:w val="0.29967792301515667"/>
          <c:h val="0.36856034340965016"/>
        </c:manualLayout>
      </c:layout>
      <c:pieChart>
        <c:varyColors val="1"/>
        <c:ser>
          <c:idx val="0"/>
          <c:order val="0"/>
          <c:spPr>
            <a:solidFill>
              <a:srgbClr val="9999FF"/>
            </a:solidFill>
            <a:ln w="12700">
              <a:solidFill>
                <a:srgbClr val="000000"/>
              </a:solidFill>
              <a:prstDash val="solid"/>
            </a:ln>
          </c:spPr>
          <c:explosion val="25"/>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dPt>
          <c:dPt>
            <c:idx val="18"/>
          </c:dPt>
          <c:dLbls>
            <c:dLbl>
              <c:idx val="0"/>
              <c:dLblPos val="bestFit"/>
              <c:showCatName val="1"/>
              <c:showPercent val="1"/>
            </c:dLbl>
            <c:dLbl>
              <c:idx val="1"/>
              <c:dLblPos val="bestFit"/>
              <c:showCatName val="1"/>
              <c:showPercent val="1"/>
            </c:dLbl>
            <c:dLbl>
              <c:idx val="2"/>
              <c:dLblPos val="bestFit"/>
              <c:showCatName val="1"/>
              <c:showPercent val="1"/>
            </c:dLbl>
            <c:dLbl>
              <c:idx val="3"/>
              <c:dLblPos val="bestFit"/>
              <c:showCatName val="1"/>
              <c:showPercent val="1"/>
            </c:dLbl>
            <c:dLbl>
              <c:idx val="4"/>
              <c:dLblPos val="bestFit"/>
              <c:showCatName val="1"/>
              <c:showPercent val="1"/>
            </c:dLbl>
            <c:dLbl>
              <c:idx val="5"/>
              <c:dLblPos val="bestFit"/>
              <c:showCatName val="1"/>
              <c:showPercent val="1"/>
            </c:dLbl>
            <c:dLbl>
              <c:idx val="6"/>
              <c:dLblPos val="bestFit"/>
              <c:showCatName val="1"/>
              <c:showPercent val="1"/>
            </c:dLbl>
            <c:dLbl>
              <c:idx val="7"/>
              <c:dLblPos val="bestFit"/>
              <c:showCatName val="1"/>
              <c:showPercent val="1"/>
            </c:dLbl>
            <c:dLbl>
              <c:idx val="8"/>
              <c:dLblPos val="bestFit"/>
              <c:showCatName val="1"/>
              <c:showPercent val="1"/>
            </c:dLbl>
            <c:dLbl>
              <c:idx val="9"/>
              <c:dLblPos val="bestFit"/>
              <c:showCatName val="1"/>
              <c:showPercent val="1"/>
            </c:dLbl>
            <c:dLbl>
              <c:idx val="10"/>
              <c:dLblPos val="bestFit"/>
              <c:showCatName val="1"/>
              <c:showPercent val="1"/>
            </c:dLbl>
            <c:dLbl>
              <c:idx val="11"/>
              <c:dLblPos val="bestFit"/>
              <c:showCatName val="1"/>
              <c:showPercent val="1"/>
            </c:dLbl>
            <c:dLbl>
              <c:idx val="12"/>
              <c:dLblPos val="bestFit"/>
              <c:showCatName val="1"/>
              <c:showPercent val="1"/>
            </c:dLbl>
            <c:dLbl>
              <c:idx val="13"/>
              <c:dLblPos val="bestFit"/>
              <c:showCatName val="1"/>
              <c:showPercent val="1"/>
            </c:dLbl>
            <c:dLbl>
              <c:idx val="14"/>
              <c:dLblPos val="bestFit"/>
              <c:showCatName val="1"/>
              <c:showPercent val="1"/>
            </c:dLbl>
            <c:dLbl>
              <c:idx val="15"/>
              <c:dLblPos val="bestFit"/>
              <c:showCatName val="1"/>
              <c:showPercent val="1"/>
            </c:dLbl>
            <c:dLbl>
              <c:idx val="16"/>
              <c:dLblPos val="bestFit"/>
              <c:showCatName val="1"/>
              <c:showPercent val="1"/>
            </c:dLbl>
            <c:dLbl>
              <c:idx val="17"/>
              <c:dLblPos val="bestFit"/>
              <c:showCatName val="1"/>
              <c:showPercent val="1"/>
            </c:dLbl>
            <c:dLbl>
              <c:idx val="18"/>
              <c:dLblPos val="bestFit"/>
              <c:showCatName val="1"/>
              <c:showPercent val="1"/>
            </c:dLbl>
            <c:numFmt formatCode="0%" sourceLinked="0"/>
            <c:spPr>
              <a:noFill/>
              <a:ln w="25400">
                <a:noFill/>
              </a:ln>
            </c:spPr>
            <c:txPr>
              <a:bodyPr/>
              <a:lstStyle/>
              <a:p>
                <a:pPr>
                  <a:defRPr sz="975" b="0" i="0" u="none" strike="noStrike" baseline="0">
                    <a:solidFill>
                      <a:srgbClr val="000000"/>
                    </a:solidFill>
                    <a:latin typeface="Arial"/>
                    <a:ea typeface="Arial"/>
                    <a:cs typeface="Arial"/>
                  </a:defRPr>
                </a:pPr>
                <a:endParaRPr lang="it-IT"/>
              </a:p>
            </c:txPr>
            <c:showCatName val="1"/>
            <c:showPercent val="1"/>
          </c:dLbls>
          <c:cat>
            <c:strRef>
              <c:f>'Sam-Podsumowanie'!$B$27:$B$45</c:f>
              <c:strCache>
                <c:ptCount val="19"/>
                <c:pt idx="0">
                  <c:v>Energia elektryczna</c:v>
                </c:pt>
                <c:pt idx="1">
                  <c:v>Ciepło sieciowe</c:v>
                </c:pt>
                <c:pt idx="2">
                  <c:v>Gaz ziemny wysokometanowy</c:v>
                </c:pt>
                <c:pt idx="3">
                  <c:v>Gaz ziemny zaazotowany</c:v>
                </c:pt>
                <c:pt idx="4">
                  <c:v>Olej opałowy</c:v>
                </c:pt>
                <c:pt idx="5">
                  <c:v>Olej napędowy </c:v>
                </c:pt>
                <c:pt idx="6">
                  <c:v>Biodiesel - olej napędowy (biokomponenty)</c:v>
                </c:pt>
                <c:pt idx="7">
                  <c:v>Benzyna</c:v>
                </c:pt>
                <c:pt idx="8">
                  <c:v>Benzyna-Etanol (biokomponenty) </c:v>
                </c:pt>
                <c:pt idx="9">
                  <c:v>Nafta</c:v>
                </c:pt>
                <c:pt idx="10">
                  <c:v>Węgiel kamienny</c:v>
                </c:pt>
                <c:pt idx="11">
                  <c:v>Węgiel brunanty</c:v>
                </c:pt>
                <c:pt idx="12">
                  <c:v>Koks</c:v>
                </c:pt>
                <c:pt idx="13">
                  <c:v>CNG</c:v>
                </c:pt>
                <c:pt idx="14">
                  <c:v>LPG </c:v>
                </c:pt>
                <c:pt idx="15">
                  <c:v>Metan/Biogaz</c:v>
                </c:pt>
                <c:pt idx="16">
                  <c:v>Drewno</c:v>
                </c:pt>
                <c:pt idx="17">
                  <c:v>Spalanie odpadów</c:v>
                </c:pt>
                <c:pt idx="18">
                  <c:v>Składowanie odpadów (samorząd) </c:v>
                </c:pt>
              </c:strCache>
            </c:strRef>
          </c:cat>
          <c:val>
            <c:numRef>
              <c:f>'Sam-Podsumowanie'!$F$27:$F$45</c:f>
              <c:numCache>
                <c:formatCode>#,##0</c:formatCode>
                <c:ptCount val="19"/>
                <c:pt idx="0">
                  <c:v>88636.625192894004</c:v>
                </c:pt>
                <c:pt idx="1">
                  <c:v>36431.259955567068</c:v>
                </c:pt>
                <c:pt idx="2">
                  <c:v>11774.304082930819</c:v>
                </c:pt>
                <c:pt idx="3">
                  <c:v>0</c:v>
                </c:pt>
                <c:pt idx="4">
                  <c:v>335.01398776883804</c:v>
                </c:pt>
                <c:pt idx="5">
                  <c:v>20352.602559697032</c:v>
                </c:pt>
                <c:pt idx="6">
                  <c:v>0</c:v>
                </c:pt>
                <c:pt idx="7">
                  <c:v>280.05560767313705</c:v>
                </c:pt>
                <c:pt idx="8">
                  <c:v>0</c:v>
                </c:pt>
                <c:pt idx="9">
                  <c:v>0</c:v>
                </c:pt>
                <c:pt idx="10">
                  <c:v>32581.87050783325</c:v>
                </c:pt>
                <c:pt idx="11">
                  <c:v>0</c:v>
                </c:pt>
                <c:pt idx="12">
                  <c:v>0</c:v>
                </c:pt>
                <c:pt idx="13">
                  <c:v>21.451926135790913</c:v>
                </c:pt>
                <c:pt idx="14">
                  <c:v>109.38955439038719</c:v>
                </c:pt>
                <c:pt idx="15">
                  <c:v>4606.5761918784656</c:v>
                </c:pt>
                <c:pt idx="16">
                  <c:v>0</c:v>
                </c:pt>
                <c:pt idx="17">
                  <c:v>0</c:v>
                </c:pt>
                <c:pt idx="18">
                  <c:v>11624.565090992999</c:v>
                </c:pt>
              </c:numCache>
            </c:numRef>
          </c:val>
        </c:ser>
        <c:firstSliceAng val="0"/>
      </c:pieChart>
      <c:spPr>
        <a:noFill/>
        <a:ln w="25400">
          <a:noFill/>
        </a:ln>
      </c:spPr>
    </c:plotArea>
    <c:legend>
      <c:legendPos val="r"/>
      <c:layout>
        <c:manualLayout>
          <c:xMode val="edge"/>
          <c:yMode val="edge"/>
          <c:wMode val="edge"/>
          <c:hMode val="edge"/>
          <c:x val="0.80665995697906179"/>
          <c:y val="0.28797900262467191"/>
          <c:w val="0.99140765299074451"/>
          <c:h val="0.79128178990836184"/>
        </c:manualLayout>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it-IT"/>
        </a:p>
      </c:txPr>
    </c:legend>
    <c:dispBlanksAs val="zero"/>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it-IT"/>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sz="1175" b="1" i="0" u="none" strike="noStrike" baseline="0">
                <a:solidFill>
                  <a:srgbClr val="000000"/>
                </a:solidFill>
                <a:latin typeface="Arial"/>
                <a:ea typeface="Arial"/>
                <a:cs typeface="Arial"/>
              </a:defRPr>
            </a:pPr>
            <a:r>
              <a:rPr lang="it-IT"/>
              <a:t>Społeczeństwo  - emisje ze zużycia energii i odpadów wg źródeł</a:t>
            </a:r>
          </a:p>
        </c:rich>
      </c:tx>
      <c:layout>
        <c:manualLayout>
          <c:xMode val="edge"/>
          <c:yMode val="edge"/>
          <c:x val="0.32451093210586879"/>
          <c:y val="2.7552674230145867E-2"/>
        </c:manualLayout>
      </c:layout>
      <c:spPr>
        <a:noFill/>
        <a:ln w="25400">
          <a:noFill/>
        </a:ln>
      </c:spPr>
    </c:title>
    <c:plotArea>
      <c:layout>
        <c:manualLayout>
          <c:layoutTarget val="inner"/>
          <c:xMode val="edge"/>
          <c:yMode val="edge"/>
          <c:x val="0.24165707710011508"/>
          <c:y val="0.36952998379254459"/>
          <c:w val="0.24626006904487918"/>
          <c:h val="0.34683954619124796"/>
        </c:manualLayout>
      </c:layout>
      <c:pieChart>
        <c:varyColors val="1"/>
        <c:ser>
          <c:idx val="0"/>
          <c:order val="0"/>
          <c:spPr>
            <a:solidFill>
              <a:srgbClr val="9999FF"/>
            </a:solidFill>
            <a:ln w="12700">
              <a:solidFill>
                <a:srgbClr val="000000"/>
              </a:solidFill>
              <a:prstDash val="solid"/>
            </a:ln>
          </c:spPr>
          <c:explosion val="25"/>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Lbls>
            <c:dLbl>
              <c:idx val="0"/>
              <c:layout/>
              <c:dLblPos val="bestFit"/>
              <c:showCatName val="1"/>
              <c:showPercent val="1"/>
            </c:dLbl>
            <c:dLbl>
              <c:idx val="1"/>
              <c:layout/>
              <c:dLblPos val="bestFit"/>
              <c:showCatName val="1"/>
              <c:showPercent val="1"/>
            </c:dLbl>
            <c:dLbl>
              <c:idx val="2"/>
              <c:layout/>
              <c:dLblPos val="bestFit"/>
              <c:showCatName val="1"/>
              <c:showPercent val="1"/>
            </c:dLbl>
            <c:dLbl>
              <c:idx val="3"/>
              <c:layout/>
              <c:dLblPos val="bestFit"/>
              <c:showCatName val="1"/>
              <c:showPercent val="1"/>
            </c:dLbl>
            <c:dLbl>
              <c:idx val="4"/>
              <c:layout/>
              <c:dLblPos val="bestFit"/>
              <c:showCatName val="1"/>
              <c:showPercent val="1"/>
            </c:dLbl>
            <c:dLbl>
              <c:idx val="5"/>
              <c:layout/>
              <c:dLblPos val="bestFit"/>
              <c:showCatName val="1"/>
              <c:showPercent val="1"/>
            </c:dLbl>
            <c:dLbl>
              <c:idx val="6"/>
              <c:layout/>
              <c:dLblPos val="bestFit"/>
              <c:showCatName val="1"/>
              <c:showPercent val="1"/>
            </c:dLbl>
            <c:dLbl>
              <c:idx val="7"/>
              <c:layout/>
              <c:dLblPos val="bestFit"/>
              <c:showCatName val="1"/>
              <c:showPercent val="1"/>
            </c:dLbl>
            <c:dLbl>
              <c:idx val="8"/>
              <c:layout/>
              <c:dLblPos val="bestFit"/>
              <c:showCatName val="1"/>
              <c:showPercent val="1"/>
            </c:dLbl>
            <c:dLbl>
              <c:idx val="9"/>
              <c:layout/>
              <c:dLblPos val="bestFit"/>
              <c:showCatName val="1"/>
              <c:showPercent val="1"/>
            </c:dLbl>
            <c:dLbl>
              <c:idx val="10"/>
              <c:layout/>
              <c:dLblPos val="bestFit"/>
              <c:showCatName val="1"/>
              <c:showPercent val="1"/>
            </c:dLbl>
            <c:dLbl>
              <c:idx val="11"/>
              <c:layout/>
              <c:dLblPos val="bestFit"/>
              <c:showCatName val="1"/>
              <c:showPercent val="1"/>
            </c:dLbl>
            <c:dLbl>
              <c:idx val="12"/>
              <c:layout/>
              <c:dLblPos val="bestFit"/>
              <c:showCatName val="1"/>
              <c:showPercent val="1"/>
            </c:dLbl>
            <c:dLbl>
              <c:idx val="13"/>
              <c:layout/>
              <c:dLblPos val="bestFit"/>
              <c:showCatName val="1"/>
              <c:showPercent val="1"/>
            </c:dLbl>
            <c:dLbl>
              <c:idx val="14"/>
              <c:layout/>
              <c:dLblPos val="bestFit"/>
              <c:showCatName val="1"/>
              <c:showPercent val="1"/>
            </c:dLbl>
            <c:dLbl>
              <c:idx val="15"/>
              <c:layout/>
              <c:dLblPos val="bestFit"/>
              <c:showCatName val="1"/>
              <c:showPercent val="1"/>
            </c:dLbl>
            <c:dLbl>
              <c:idx val="16"/>
              <c:layout/>
              <c:dLblPos val="bestFit"/>
              <c:showCatName val="1"/>
              <c:showPercent val="1"/>
            </c:dLbl>
            <c:dLbl>
              <c:idx val="17"/>
              <c:layout/>
              <c:dLblPos val="bestFit"/>
              <c:showCatName val="1"/>
              <c:showPercent val="1"/>
            </c:dLbl>
            <c:dLbl>
              <c:idx val="18"/>
              <c:layout/>
              <c:dLblPos val="bestFit"/>
              <c:showCatName val="1"/>
              <c:showPercent val="1"/>
            </c:dLbl>
            <c:dLbl>
              <c:idx val="19"/>
              <c:layout/>
              <c:dLblPos val="bestFit"/>
              <c:showCatName val="1"/>
              <c:showPercent val="1"/>
            </c:dLbl>
            <c:dLbl>
              <c:idx val="20"/>
              <c:layout/>
              <c:dLblPos val="bestFit"/>
              <c:showCatName val="1"/>
              <c:showPercent val="1"/>
            </c:dLbl>
            <c:numFmt formatCode="0%" sourceLinked="0"/>
            <c:spPr>
              <a:noFill/>
              <a:ln w="25400">
                <a:noFill/>
              </a:ln>
            </c:spPr>
            <c:txPr>
              <a:bodyPr/>
              <a:lstStyle/>
              <a:p>
                <a:pPr>
                  <a:defRPr sz="1025" b="0" i="0" u="none" strike="noStrike" baseline="0">
                    <a:solidFill>
                      <a:srgbClr val="000000"/>
                    </a:solidFill>
                    <a:latin typeface="Arial"/>
                    <a:ea typeface="Arial"/>
                    <a:cs typeface="Arial"/>
                  </a:defRPr>
                </a:pPr>
                <a:endParaRPr lang="it-IT"/>
              </a:p>
            </c:txPr>
            <c:showCatName val="1"/>
            <c:showPercent val="1"/>
          </c:dLbls>
          <c:cat>
            <c:strRef>
              <c:f>'Spo-podsumowanie'!$B$36:$B$56</c:f>
              <c:strCache>
                <c:ptCount val="21"/>
                <c:pt idx="0">
                  <c:v>Netto energia elektryczna (zakup)</c:v>
                </c:pt>
                <c:pt idx="1">
                  <c:v>Netto ogrzewanie i chłodzenie (zakup)</c:v>
                </c:pt>
                <c:pt idx="2">
                  <c:v>Gaz ziemny wysokometanowy</c:v>
                </c:pt>
                <c:pt idx="3">
                  <c:v>Gaz ziemny zaazotowany</c:v>
                </c:pt>
                <c:pt idx="4">
                  <c:v>Olej opałowy</c:v>
                </c:pt>
                <c:pt idx="5">
                  <c:v>Olej napędowy </c:v>
                </c:pt>
                <c:pt idx="6">
                  <c:v>Biodiesel - olej napędowy (biokomponenty)</c:v>
                </c:pt>
                <c:pt idx="7">
                  <c:v>Benzyna</c:v>
                </c:pt>
                <c:pt idx="8">
                  <c:v>Benzyna-Etanol (biokomponenty) </c:v>
                </c:pt>
                <c:pt idx="9">
                  <c:v>Nafta</c:v>
                </c:pt>
                <c:pt idx="10">
                  <c:v>Węgiel kamienny</c:v>
                </c:pt>
                <c:pt idx="11">
                  <c:v>Węgiel brunanty</c:v>
                </c:pt>
                <c:pt idx="12">
                  <c:v>Koks</c:v>
                </c:pt>
                <c:pt idx="13">
                  <c:v>CNG</c:v>
                </c:pt>
                <c:pt idx="14">
                  <c:v>LPG </c:v>
                </c:pt>
                <c:pt idx="15">
                  <c:v>Drewno</c:v>
                </c:pt>
                <c:pt idx="16">
                  <c:v>Metan/Biogaz</c:v>
                </c:pt>
                <c:pt idx="17">
                  <c:v>Spalanie odpadów</c:v>
                </c:pt>
                <c:pt idx="18">
                  <c:v>Odpady (składowanie)</c:v>
                </c:pt>
                <c:pt idx="19">
                  <c:v>Rolnictwo</c:v>
                </c:pt>
                <c:pt idx="20">
                  <c:v>Pozostałe GHG</c:v>
                </c:pt>
              </c:strCache>
            </c:strRef>
          </c:cat>
          <c:val>
            <c:numRef>
              <c:f>'Spo-podsumowanie'!$F$36:$F$56</c:f>
              <c:numCache>
                <c:formatCode>#,##0</c:formatCode>
                <c:ptCount val="21"/>
                <c:pt idx="0">
                  <c:v>1097202.7832043238</c:v>
                </c:pt>
                <c:pt idx="1">
                  <c:v>396786.00349533657</c:v>
                </c:pt>
                <c:pt idx="2">
                  <c:v>493266.4163615217</c:v>
                </c:pt>
                <c:pt idx="3">
                  <c:v>0</c:v>
                </c:pt>
                <c:pt idx="4">
                  <c:v>15176.312722942828</c:v>
                </c:pt>
                <c:pt idx="5">
                  <c:v>111208.78723777403</c:v>
                </c:pt>
                <c:pt idx="6">
                  <c:v>0</c:v>
                </c:pt>
                <c:pt idx="7">
                  <c:v>403793.44002481131</c:v>
                </c:pt>
                <c:pt idx="8">
                  <c:v>0</c:v>
                </c:pt>
                <c:pt idx="9">
                  <c:v>0</c:v>
                </c:pt>
                <c:pt idx="10">
                  <c:v>279812.28911999997</c:v>
                </c:pt>
                <c:pt idx="11">
                  <c:v>0</c:v>
                </c:pt>
                <c:pt idx="12">
                  <c:v>360.34805999999998</c:v>
                </c:pt>
                <c:pt idx="13">
                  <c:v>0</c:v>
                </c:pt>
                <c:pt idx="14">
                  <c:v>54924.286245919015</c:v>
                </c:pt>
                <c:pt idx="15">
                  <c:v>2.078964</c:v>
                </c:pt>
                <c:pt idx="16">
                  <c:v>4606.5761918784656</c:v>
                </c:pt>
                <c:pt idx="17">
                  <c:v>0</c:v>
                </c:pt>
                <c:pt idx="18">
                  <c:v>42754.489409006994</c:v>
                </c:pt>
                <c:pt idx="19">
                  <c:v>68730.456551088166</c:v>
                </c:pt>
                <c:pt idx="20">
                  <c:v>0</c:v>
                </c:pt>
              </c:numCache>
            </c:numRef>
          </c:val>
        </c:ser>
        <c:firstSliceAng val="0"/>
      </c:pieChart>
      <c:spPr>
        <a:noFill/>
        <a:ln w="25400">
          <a:noFill/>
        </a:ln>
      </c:spPr>
    </c:plotArea>
    <c:legend>
      <c:legendPos val="r"/>
      <c:layout>
        <c:manualLayout>
          <c:xMode val="edge"/>
          <c:yMode val="edge"/>
          <c:x val="0.72497123130034524"/>
          <c:y val="0.1847649918962723"/>
          <c:w val="0.26582278481012656"/>
          <c:h val="0.71636952998379255"/>
        </c:manualLayout>
      </c:layout>
      <c:spPr>
        <a:solidFill>
          <a:srgbClr val="FFFFFF"/>
        </a:solidFill>
        <a:ln w="3175">
          <a:solidFill>
            <a:srgbClr val="000000"/>
          </a:solidFill>
          <a:prstDash val="solid"/>
        </a:ln>
      </c:spPr>
      <c:txPr>
        <a:bodyPr/>
        <a:lstStyle/>
        <a:p>
          <a:pPr>
            <a:defRPr sz="725" b="0" i="0" u="none" strike="noStrike" baseline="0">
              <a:solidFill>
                <a:srgbClr val="000000"/>
              </a:solidFill>
              <a:latin typeface="Arial"/>
              <a:ea typeface="Arial"/>
              <a:cs typeface="Arial"/>
            </a:defRPr>
          </a:pPr>
          <a:endParaRPr lang="it-IT"/>
        </a:p>
      </c:txPr>
    </c:legend>
    <c:dispBlanksAs val="zero"/>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it-IT"/>
    </a:p>
  </c:txPr>
  <c:printSettings>
    <c:headerFooter alignWithMargins="0"/>
    <c:pageMargins b="1" l="0.75" r="0.75" t="1"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sz="1200" b="1" i="0" u="none" strike="noStrike" baseline="0">
                <a:solidFill>
                  <a:srgbClr val="000000"/>
                </a:solidFill>
                <a:latin typeface="Arial"/>
                <a:ea typeface="Arial"/>
                <a:cs typeface="Arial"/>
              </a:defRPr>
            </a:pPr>
            <a:r>
              <a:rPr lang="it-IT"/>
              <a:t>Społeczeństwo  - emisje ze zużycia energii i odpadów wg sektorów</a:t>
            </a:r>
          </a:p>
        </c:rich>
      </c:tx>
      <c:layout>
        <c:manualLayout>
          <c:xMode val="edge"/>
          <c:yMode val="edge"/>
          <c:x val="0.34571755929889569"/>
          <c:y val="2.8985507246376812E-2"/>
        </c:manualLayout>
      </c:layout>
      <c:spPr>
        <a:noFill/>
        <a:ln w="25400">
          <a:noFill/>
        </a:ln>
      </c:spPr>
    </c:title>
    <c:plotArea>
      <c:layout>
        <c:manualLayout>
          <c:layoutTarget val="inner"/>
          <c:xMode val="edge"/>
          <c:yMode val="edge"/>
          <c:x val="0.24045431869831849"/>
          <c:y val="0.28623239044170073"/>
          <c:w val="0.29721392182453099"/>
          <c:h val="0.52174005346335317"/>
        </c:manualLayout>
      </c:layout>
      <c:pieChart>
        <c:varyColors val="1"/>
        <c:ser>
          <c:idx val="0"/>
          <c:order val="0"/>
          <c:spPr>
            <a:solidFill>
              <a:srgbClr val="9999FF"/>
            </a:solidFill>
            <a:ln w="12700">
              <a:solidFill>
                <a:srgbClr val="000000"/>
              </a:solidFill>
              <a:prstDash val="solid"/>
            </a:ln>
          </c:spPr>
          <c:explosion val="25"/>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Lbls>
            <c:dLbl>
              <c:idx val="0"/>
              <c:layout/>
              <c:dLblPos val="bestFit"/>
              <c:showCatName val="1"/>
              <c:showPercent val="1"/>
            </c:dLbl>
            <c:dLbl>
              <c:idx val="1"/>
              <c:layout/>
              <c:dLblPos val="bestFit"/>
              <c:showCatName val="1"/>
              <c:showPercent val="1"/>
            </c:dLbl>
            <c:dLbl>
              <c:idx val="2"/>
              <c:layout/>
              <c:dLblPos val="bestFit"/>
              <c:showCatName val="1"/>
              <c:showPercent val="1"/>
            </c:dLbl>
            <c:dLbl>
              <c:idx val="3"/>
              <c:layout/>
              <c:dLblPos val="bestFit"/>
              <c:showCatName val="1"/>
              <c:showPercent val="1"/>
            </c:dLbl>
            <c:dLbl>
              <c:idx val="4"/>
              <c:layout/>
              <c:dLblPos val="bestFit"/>
              <c:showCatName val="1"/>
              <c:showPercent val="1"/>
            </c:dLbl>
            <c:dLbl>
              <c:idx val="5"/>
              <c:layout/>
              <c:dLblPos val="bestFit"/>
              <c:showCatName val="1"/>
              <c:showPercent val="1"/>
            </c:dLbl>
            <c:dLbl>
              <c:idx val="6"/>
              <c:layout/>
              <c:dLblPos val="bestFit"/>
              <c:showCatName val="1"/>
              <c:showPercent val="1"/>
            </c:dLbl>
            <c:numFmt formatCode="0%" sourceLinked="0"/>
            <c:spPr>
              <a:noFill/>
              <a:ln w="25400">
                <a:noFill/>
              </a:ln>
            </c:spPr>
            <c:txPr>
              <a:bodyPr/>
              <a:lstStyle/>
              <a:p>
                <a:pPr>
                  <a:defRPr sz="900" b="0" i="0" u="none" strike="noStrike" baseline="0">
                    <a:solidFill>
                      <a:srgbClr val="000000"/>
                    </a:solidFill>
                    <a:latin typeface="Arial"/>
                    <a:ea typeface="Arial"/>
                    <a:cs typeface="Arial"/>
                  </a:defRPr>
                </a:pPr>
                <a:endParaRPr lang="it-IT"/>
              </a:p>
            </c:txPr>
            <c:showCatName val="1"/>
            <c:showPercent val="1"/>
          </c:dLbls>
          <c:cat>
            <c:strRef>
              <c:f>'Spo-podsumowanie'!$B$10:$B$16</c:f>
              <c:strCache>
                <c:ptCount val="7"/>
                <c:pt idx="0">
                  <c:v>Mieszkalny</c:v>
                </c:pt>
                <c:pt idx="1">
                  <c:v>Usługowy</c:v>
                </c:pt>
                <c:pt idx="2">
                  <c:v>Przemysł i inne GHG</c:v>
                </c:pt>
                <c:pt idx="3">
                  <c:v>Transport</c:v>
                </c:pt>
                <c:pt idx="4">
                  <c:v>Odpady (społeczeństwo)</c:v>
                </c:pt>
                <c:pt idx="5">
                  <c:v>Rolnictwo</c:v>
                </c:pt>
                <c:pt idx="6">
                  <c:v>Zużyte paliwo dla lokalnej produkcji energii </c:v>
                </c:pt>
              </c:strCache>
            </c:strRef>
          </c:cat>
          <c:val>
            <c:numRef>
              <c:f>'Spo-podsumowanie'!$F$10:$F$16</c:f>
              <c:numCache>
                <c:formatCode>#,##0</c:formatCode>
                <c:ptCount val="7"/>
                <c:pt idx="0">
                  <c:v>1006754.9415997632</c:v>
                </c:pt>
                <c:pt idx="1">
                  <c:v>306845.94487365201</c:v>
                </c:pt>
                <c:pt idx="2">
                  <c:v>889286.64329892956</c:v>
                </c:pt>
                <c:pt idx="3">
                  <c:v>569926.51350850426</c:v>
                </c:pt>
                <c:pt idx="4">
                  <c:v>42754.489409006994</c:v>
                </c:pt>
                <c:pt idx="5">
                  <c:v>68730.456551088166</c:v>
                </c:pt>
                <c:pt idx="6">
                  <c:v>88931.854539537046</c:v>
                </c:pt>
              </c:numCache>
            </c:numRef>
          </c:val>
        </c:ser>
        <c:firstSliceAng val="0"/>
      </c:pieChart>
      <c:spPr>
        <a:noFill/>
        <a:ln w="25400">
          <a:noFill/>
        </a:ln>
      </c:spPr>
    </c:plotArea>
    <c:legend>
      <c:legendPos val="r"/>
      <c:layout>
        <c:manualLayout>
          <c:xMode val="edge"/>
          <c:yMode val="edge"/>
          <c:x val="0.77399456646866505"/>
          <c:y val="0.42572539845562779"/>
          <c:w val="0.2177504746891159"/>
          <c:h val="0.24275400357563998"/>
        </c:manualLayout>
      </c:layout>
      <c:spPr>
        <a:solidFill>
          <a:srgbClr val="FFFFFF"/>
        </a:solidFill>
        <a:ln w="3175">
          <a:solidFill>
            <a:srgbClr val="000000"/>
          </a:solidFill>
          <a:prstDash val="solid"/>
        </a:ln>
      </c:spPr>
      <c:txPr>
        <a:bodyPr/>
        <a:lstStyle/>
        <a:p>
          <a:pPr>
            <a:defRPr sz="630" b="0" i="0" u="none" strike="noStrike" baseline="0">
              <a:solidFill>
                <a:srgbClr val="000000"/>
              </a:solidFill>
              <a:latin typeface="Arial"/>
              <a:ea typeface="Arial"/>
              <a:cs typeface="Arial"/>
            </a:defRPr>
          </a:pPr>
          <a:endParaRPr lang="it-IT"/>
        </a:p>
      </c:txPr>
    </c:legend>
    <c:dispBlanksAs val="zero"/>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it-IT"/>
    </a:p>
  </c:txPr>
  <c:printSettings>
    <c:headerFooter alignWithMargins="0"/>
    <c:pageMargins b="1" l="0.75" r="0.75" t="1" header="0.51180555555555551" footer="0.51180555555555551"/>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sz="1450" b="1" i="0" u="none" strike="noStrike" baseline="0">
                <a:solidFill>
                  <a:srgbClr val="000000"/>
                </a:solidFill>
                <a:latin typeface="Arial"/>
                <a:ea typeface="Arial"/>
                <a:cs typeface="Arial"/>
              </a:defRPr>
            </a:pPr>
            <a:r>
              <a:rPr lang="it-IT"/>
              <a:t>Społeczeństwo - zużycie energii (MWh) wg źródeł energii</a:t>
            </a:r>
          </a:p>
        </c:rich>
      </c:tx>
      <c:layout>
        <c:manualLayout>
          <c:xMode val="edge"/>
          <c:yMode val="edge"/>
          <c:x val="0.2776028548481913"/>
          <c:y val="2.6865671641791045E-2"/>
        </c:manualLayout>
      </c:layout>
      <c:spPr>
        <a:noFill/>
        <a:ln w="25400">
          <a:noFill/>
        </a:ln>
      </c:spPr>
    </c:title>
    <c:plotArea>
      <c:layout>
        <c:manualLayout>
          <c:layoutTarget val="inner"/>
          <c:xMode val="edge"/>
          <c:yMode val="edge"/>
          <c:x val="0.23764482868036593"/>
          <c:y val="0.36865698508700523"/>
          <c:w val="0.24605703500533466"/>
          <c:h val="0.34925398587189971"/>
        </c:manualLayout>
      </c:layout>
      <c:pieChart>
        <c:varyColors val="1"/>
        <c:ser>
          <c:idx val="0"/>
          <c:order val="0"/>
          <c:tx>
            <c:strRef>
              <c:f>'Spo-podsumowanie'!$E$35</c:f>
              <c:strCache>
                <c:ptCount val="1"/>
                <c:pt idx="0">
                  <c:v>Całkowita energia (MWh)</c:v>
                </c:pt>
              </c:strCache>
            </c:strRef>
          </c:tx>
          <c:spPr>
            <a:solidFill>
              <a:srgbClr val="9999FF"/>
            </a:solidFill>
            <a:ln w="12700">
              <a:solidFill>
                <a:srgbClr val="000000"/>
              </a:solidFill>
              <a:prstDash val="solid"/>
            </a:ln>
          </c:spPr>
          <c:explosion val="25"/>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Lbls>
            <c:dLbl>
              <c:idx val="0"/>
              <c:layout/>
              <c:dLblPos val="bestFit"/>
              <c:showCatName val="1"/>
              <c:showPercent val="1"/>
            </c:dLbl>
            <c:dLbl>
              <c:idx val="1"/>
              <c:layout/>
              <c:dLblPos val="bestFit"/>
              <c:showCatName val="1"/>
              <c:showPercent val="1"/>
            </c:dLbl>
            <c:dLbl>
              <c:idx val="2"/>
              <c:layout/>
              <c:dLblPos val="bestFit"/>
              <c:showCatName val="1"/>
              <c:showPercent val="1"/>
            </c:dLbl>
            <c:dLbl>
              <c:idx val="3"/>
              <c:layout/>
              <c:dLblPos val="bestFit"/>
              <c:showCatName val="1"/>
              <c:showPercent val="1"/>
            </c:dLbl>
            <c:dLbl>
              <c:idx val="4"/>
              <c:layout/>
              <c:dLblPos val="bestFit"/>
              <c:showCatName val="1"/>
              <c:showPercent val="1"/>
            </c:dLbl>
            <c:dLbl>
              <c:idx val="5"/>
              <c:layout/>
              <c:dLblPos val="bestFit"/>
              <c:showCatName val="1"/>
              <c:showPercent val="1"/>
            </c:dLbl>
            <c:dLbl>
              <c:idx val="6"/>
              <c:layout/>
              <c:dLblPos val="bestFit"/>
              <c:showCatName val="1"/>
              <c:showPercent val="1"/>
            </c:dLbl>
            <c:dLbl>
              <c:idx val="7"/>
              <c:layout/>
              <c:dLblPos val="bestFit"/>
              <c:showCatName val="1"/>
              <c:showPercent val="1"/>
            </c:dLbl>
            <c:dLbl>
              <c:idx val="8"/>
              <c:layout/>
              <c:dLblPos val="bestFit"/>
              <c:showCatName val="1"/>
              <c:showPercent val="1"/>
            </c:dLbl>
            <c:dLbl>
              <c:idx val="9"/>
              <c:layout/>
              <c:dLblPos val="bestFit"/>
              <c:showCatName val="1"/>
              <c:showPercent val="1"/>
            </c:dLbl>
            <c:dLbl>
              <c:idx val="10"/>
              <c:layout/>
              <c:dLblPos val="bestFit"/>
              <c:showCatName val="1"/>
              <c:showPercent val="1"/>
            </c:dLbl>
            <c:dLbl>
              <c:idx val="11"/>
              <c:layout/>
              <c:dLblPos val="bestFit"/>
              <c:showCatName val="1"/>
              <c:showPercent val="1"/>
            </c:dLbl>
            <c:dLbl>
              <c:idx val="12"/>
              <c:layout/>
              <c:dLblPos val="bestFit"/>
              <c:showCatName val="1"/>
              <c:showPercent val="1"/>
            </c:dLbl>
            <c:dLbl>
              <c:idx val="13"/>
              <c:layout/>
              <c:dLblPos val="bestFit"/>
              <c:showCatName val="1"/>
              <c:showPercent val="1"/>
            </c:dLbl>
            <c:dLbl>
              <c:idx val="14"/>
              <c:layout/>
              <c:dLblPos val="bestFit"/>
              <c:showCatName val="1"/>
              <c:showPercent val="1"/>
            </c:dLbl>
            <c:dLbl>
              <c:idx val="15"/>
              <c:layout/>
              <c:dLblPos val="bestFit"/>
              <c:showCatName val="1"/>
              <c:showPercent val="1"/>
            </c:dLbl>
            <c:dLbl>
              <c:idx val="16"/>
              <c:layout/>
              <c:dLblPos val="bestFit"/>
              <c:showCatName val="1"/>
              <c:showPercent val="1"/>
            </c:dLbl>
            <c:dLbl>
              <c:idx val="17"/>
              <c:layout/>
              <c:dLblPos val="bestFit"/>
              <c:showCatName val="1"/>
              <c:showPercent val="1"/>
            </c:dLbl>
            <c:numFmt formatCode="0%" sourceLinked="0"/>
            <c:spPr>
              <a:noFill/>
              <a:ln w="25400">
                <a:noFill/>
              </a:ln>
            </c:spPr>
            <c:txPr>
              <a:bodyPr/>
              <a:lstStyle/>
              <a:p>
                <a:pPr>
                  <a:defRPr sz="1200" b="0" i="0" u="none" strike="noStrike" baseline="0">
                    <a:solidFill>
                      <a:srgbClr val="000000"/>
                    </a:solidFill>
                    <a:latin typeface="Arial"/>
                    <a:ea typeface="Arial"/>
                    <a:cs typeface="Arial"/>
                  </a:defRPr>
                </a:pPr>
                <a:endParaRPr lang="it-IT"/>
              </a:p>
            </c:txPr>
            <c:showCatName val="1"/>
            <c:showPercent val="1"/>
          </c:dLbls>
          <c:cat>
            <c:strRef>
              <c:f>'Spo-podsumowanie'!$B$36:$B$53</c:f>
              <c:strCache>
                <c:ptCount val="18"/>
                <c:pt idx="0">
                  <c:v>Netto energia elektryczna (zakup)</c:v>
                </c:pt>
                <c:pt idx="1">
                  <c:v>Netto ogrzewanie i chłodzenie (zakup)</c:v>
                </c:pt>
                <c:pt idx="2">
                  <c:v>Gaz ziemny wysokometanowy</c:v>
                </c:pt>
                <c:pt idx="3">
                  <c:v>Gaz ziemny zaazotowany</c:v>
                </c:pt>
                <c:pt idx="4">
                  <c:v>Olej opałowy</c:v>
                </c:pt>
                <c:pt idx="5">
                  <c:v>Olej napędowy </c:v>
                </c:pt>
                <c:pt idx="6">
                  <c:v>Biodiesel - olej napędowy (biokomponenty)</c:v>
                </c:pt>
                <c:pt idx="7">
                  <c:v>Benzyna</c:v>
                </c:pt>
                <c:pt idx="8">
                  <c:v>Benzyna-Etanol (biokomponenty) </c:v>
                </c:pt>
                <c:pt idx="9">
                  <c:v>Nafta</c:v>
                </c:pt>
                <c:pt idx="10">
                  <c:v>Węgiel kamienny</c:v>
                </c:pt>
                <c:pt idx="11">
                  <c:v>Węgiel brunanty</c:v>
                </c:pt>
                <c:pt idx="12">
                  <c:v>Koks</c:v>
                </c:pt>
                <c:pt idx="13">
                  <c:v>CNG</c:v>
                </c:pt>
                <c:pt idx="14">
                  <c:v>LPG </c:v>
                </c:pt>
                <c:pt idx="15">
                  <c:v>Drewno</c:v>
                </c:pt>
                <c:pt idx="16">
                  <c:v>Metan/Biogaz</c:v>
                </c:pt>
                <c:pt idx="17">
                  <c:v>Spalanie odpadów</c:v>
                </c:pt>
              </c:strCache>
            </c:strRef>
          </c:cat>
          <c:val>
            <c:numRef>
              <c:f>'Spo-podsumowanie'!$E$36:$E$53</c:f>
              <c:numCache>
                <c:formatCode>#,##0</c:formatCode>
                <c:ptCount val="18"/>
                <c:pt idx="0">
                  <c:v>1090206.8868829999</c:v>
                </c:pt>
                <c:pt idx="1">
                  <c:v>1224644.4596433116</c:v>
                </c:pt>
                <c:pt idx="2">
                  <c:v>681857.5644594956</c:v>
                </c:pt>
                <c:pt idx="3">
                  <c:v>0</c:v>
                </c:pt>
                <c:pt idx="4">
                  <c:v>61157.913684395389</c:v>
                </c:pt>
                <c:pt idx="5">
                  <c:v>499970.00849224039</c:v>
                </c:pt>
                <c:pt idx="6">
                  <c:v>0</c:v>
                </c:pt>
                <c:pt idx="7">
                  <c:v>2094979.7912802435</c:v>
                </c:pt>
                <c:pt idx="8">
                  <c:v>0</c:v>
                </c:pt>
                <c:pt idx="9">
                  <c:v>0</c:v>
                </c:pt>
                <c:pt idx="10">
                  <c:v>826875.08161440003</c:v>
                </c:pt>
                <c:pt idx="11">
                  <c:v>0</c:v>
                </c:pt>
                <c:pt idx="12">
                  <c:v>944.31588779999981</c:v>
                </c:pt>
                <c:pt idx="13">
                  <c:v>0</c:v>
                </c:pt>
                <c:pt idx="14">
                  <c:v>239918.04367516958</c:v>
                </c:pt>
                <c:pt idx="15">
                  <c:v>16985.135879999998</c:v>
                </c:pt>
                <c:pt idx="16">
                  <c:v>6510.0985525940005</c:v>
                </c:pt>
                <c:pt idx="17">
                  <c:v>0</c:v>
                </c:pt>
              </c:numCache>
            </c:numRef>
          </c:val>
        </c:ser>
        <c:firstSliceAng val="0"/>
      </c:pieChart>
      <c:spPr>
        <a:noFill/>
        <a:ln w="25400">
          <a:noFill/>
        </a:ln>
      </c:spPr>
    </c:plotArea>
    <c:legend>
      <c:legendPos val="r"/>
      <c:layout>
        <c:manualLayout>
          <c:xMode val="edge"/>
          <c:yMode val="edge"/>
          <c:x val="0.71819215027143679"/>
          <c:y val="0.23432851490578602"/>
          <c:w val="0.27339675600486846"/>
          <c:h val="0.6194034551651193"/>
        </c:manualLayout>
      </c:layou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it-IT"/>
        </a:p>
      </c:txPr>
    </c:legend>
    <c:dispBlanksAs val="zero"/>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it-IT"/>
    </a:p>
  </c:txPr>
  <c:printSettings>
    <c:headerFooter alignWithMargins="0"/>
    <c:pageMargins b="1" l="0.75" r="0.75" t="1" header="0.51180555555555551" footer="0.51180555555555551"/>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sz="900" b="0" i="0" u="none" strike="noStrike" baseline="0">
                <a:solidFill>
                  <a:srgbClr val="000000"/>
                </a:solidFill>
                <a:latin typeface="Arial"/>
                <a:ea typeface="Arial"/>
                <a:cs typeface="Arial"/>
              </a:defRPr>
            </a:pPr>
            <a:r>
              <a:t>Total Energy Consumption (MWh)</a:t>
            </a:r>
          </a:p>
        </c:rich>
      </c:tx>
      <c:layout>
        <c:manualLayout>
          <c:xMode val="edge"/>
          <c:yMode val="edge"/>
          <c:x val="0.38058802036718586"/>
          <c:y val="2.9411764705882353E-2"/>
        </c:manualLayout>
      </c:layout>
      <c:spPr>
        <a:noFill/>
        <a:ln w="25400">
          <a:noFill/>
        </a:ln>
      </c:spPr>
    </c:title>
    <c:plotArea>
      <c:layout>
        <c:manualLayout>
          <c:layoutTarget val="inner"/>
          <c:xMode val="edge"/>
          <c:yMode val="edge"/>
          <c:x val="0.24010247059395778"/>
          <c:y val="0.36397091492678918"/>
          <c:w val="0.24521103379808454"/>
          <c:h val="0.35294149326234103"/>
        </c:manualLayout>
      </c:layout>
      <c:pieChart>
        <c:varyColors val="1"/>
        <c:ser>
          <c:idx val="0"/>
          <c:order val="0"/>
          <c:tx>
            <c:strRef>
              <c:f>'Spo-podsumowanie'!$E$9</c:f>
              <c:strCache>
                <c:ptCount val="1"/>
                <c:pt idx="0">
                  <c:v>Total Zużycie energii  (MWh)</c:v>
                </c:pt>
              </c:strCache>
            </c:strRef>
          </c:tx>
          <c:spPr>
            <a:solidFill>
              <a:srgbClr val="9999FF"/>
            </a:solidFill>
            <a:ln w="12700">
              <a:solidFill>
                <a:srgbClr val="000000"/>
              </a:solidFill>
              <a:prstDash val="solid"/>
            </a:ln>
          </c:spPr>
          <c:explosion val="25"/>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Lbls>
            <c:numFmt formatCode="0%" sourceLinked="0"/>
            <c:spPr>
              <a:noFill/>
              <a:ln w="25400">
                <a:noFill/>
              </a:ln>
            </c:spPr>
            <c:txPr>
              <a:bodyPr/>
              <a:lstStyle/>
              <a:p>
                <a:pPr>
                  <a:defRPr sz="900" b="0" i="0" u="none" strike="noStrike" baseline="0">
                    <a:solidFill>
                      <a:srgbClr val="000000"/>
                    </a:solidFill>
                    <a:latin typeface="Arial"/>
                    <a:ea typeface="Arial"/>
                    <a:cs typeface="Arial"/>
                  </a:defRPr>
                </a:pPr>
                <a:endParaRPr lang="it-IT"/>
              </a:p>
            </c:txPr>
            <c:showCatName val="1"/>
            <c:showPercent val="1"/>
          </c:dLbls>
          <c:cat>
            <c:strRef>
              <c:f>'Spo-podsumowanie'!$B$10:$D$16</c:f>
              <c:strCache>
                <c:ptCount val="7"/>
                <c:pt idx="0">
                  <c:v>Mieszkalny</c:v>
                </c:pt>
                <c:pt idx="1">
                  <c:v>Usługowy</c:v>
                </c:pt>
                <c:pt idx="2">
                  <c:v>Przemysł i inne GHG</c:v>
                </c:pt>
                <c:pt idx="3">
                  <c:v>Transport</c:v>
                </c:pt>
                <c:pt idx="4">
                  <c:v>Odpady (społeczeństwo)</c:v>
                </c:pt>
                <c:pt idx="5">
                  <c:v>Rolnictwo</c:v>
                </c:pt>
                <c:pt idx="6">
                  <c:v>Zużyte paliwo dla lokalnej produkcji energii </c:v>
                </c:pt>
              </c:strCache>
            </c:strRef>
          </c:cat>
          <c:val>
            <c:numRef>
              <c:f>'Spo-podsumowanie'!$E$10:$E$16</c:f>
              <c:numCache>
                <c:formatCode>#,##0</c:formatCode>
                <c:ptCount val="7"/>
                <c:pt idx="0">
                  <c:v>2095830.5213816001</c:v>
                </c:pt>
                <c:pt idx="1">
                  <c:v>526408.78317502723</c:v>
                </c:pt>
                <c:pt idx="2">
                  <c:v>1073692.1133101063</c:v>
                </c:pt>
                <c:pt idx="3">
                  <c:v>2834867.8434476536</c:v>
                </c:pt>
                <c:pt idx="6">
                  <c:v>245054.31273826299</c:v>
                </c:pt>
              </c:numCache>
            </c:numRef>
          </c:val>
        </c:ser>
        <c:firstSliceAng val="0"/>
      </c:pieChart>
      <c:spPr>
        <a:noFill/>
        <a:ln w="25400">
          <a:noFill/>
        </a:ln>
      </c:spPr>
    </c:plotArea>
    <c:legend>
      <c:legendPos val="r"/>
      <c:layout>
        <c:manualLayout>
          <c:xMode val="edge"/>
          <c:yMode val="edge"/>
          <c:wMode val="edge"/>
          <c:hMode val="edge"/>
          <c:x val="0.72030745198995716"/>
          <c:y val="0.41727979774586998"/>
          <c:w val="0.98978422716317538"/>
          <c:h val="0.66360352014821677"/>
        </c:manualLayout>
      </c:layout>
      <c:spPr>
        <a:solidFill>
          <a:srgbClr val="FFFFFF"/>
        </a:solidFill>
        <a:ln w="3175">
          <a:solidFill>
            <a:srgbClr val="000000"/>
          </a:solidFill>
          <a:prstDash val="solid"/>
        </a:ln>
      </c:spPr>
      <c:txPr>
        <a:bodyPr/>
        <a:lstStyle/>
        <a:p>
          <a:pPr>
            <a:defRPr sz="630" b="0" i="0" u="none" strike="noStrike" baseline="0">
              <a:solidFill>
                <a:srgbClr val="000000"/>
              </a:solidFill>
              <a:latin typeface="Arial"/>
              <a:ea typeface="Arial"/>
              <a:cs typeface="Arial"/>
            </a:defRPr>
          </a:pPr>
          <a:endParaRPr lang="it-IT"/>
        </a:p>
      </c:txPr>
    </c:legend>
    <c:dispBlanksAs val="zero"/>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it-IT"/>
    </a:p>
  </c:txPr>
  <c:printSettings>
    <c:headerFooter alignWithMargins="0"/>
    <c:pageMargins b="1" l="0.75" r="0.75" t="1"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0</xdr:colOff>
      <xdr:row>26</xdr:row>
      <xdr:rowOff>57150</xdr:rowOff>
    </xdr:from>
    <xdr:to>
      <xdr:col>1</xdr:col>
      <xdr:colOff>1752600</xdr:colOff>
      <xdr:row>32</xdr:row>
      <xdr:rowOff>123825</xdr:rowOff>
    </xdr:to>
    <xdr:pic>
      <xdr:nvPicPr>
        <xdr:cNvPr id="2632734"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238125" y="10620375"/>
          <a:ext cx="1752600" cy="1038225"/>
        </a:xfrm>
        <a:prstGeom prst="rect">
          <a:avLst/>
        </a:prstGeom>
        <a:noFill/>
        <a:ln w="9525">
          <a:noFill/>
          <a:round/>
          <a:headEnd/>
          <a:tailEnd/>
        </a:ln>
      </xdr:spPr>
    </xdr:pic>
    <xdr:clientData/>
  </xdr:twoCellAnchor>
  <xdr:twoCellAnchor>
    <xdr:from>
      <xdr:col>1</xdr:col>
      <xdr:colOff>6019800</xdr:colOff>
      <xdr:row>26</xdr:row>
      <xdr:rowOff>95250</xdr:rowOff>
    </xdr:from>
    <xdr:to>
      <xdr:col>1</xdr:col>
      <xdr:colOff>7419975</xdr:colOff>
      <xdr:row>32</xdr:row>
      <xdr:rowOff>85725</xdr:rowOff>
    </xdr:to>
    <xdr:pic>
      <xdr:nvPicPr>
        <xdr:cNvPr id="2632735" name="Picture 11"/>
        <xdr:cNvPicPr>
          <a:picLocks noChangeAspect="1" noChangeArrowheads="1"/>
        </xdr:cNvPicPr>
      </xdr:nvPicPr>
      <xdr:blipFill>
        <a:blip xmlns:r="http://schemas.openxmlformats.org/officeDocument/2006/relationships" r:embed="rId2" cstate="print"/>
        <a:srcRect/>
        <a:stretch>
          <a:fillRect/>
        </a:stretch>
      </xdr:blipFill>
      <xdr:spPr bwMode="auto">
        <a:xfrm>
          <a:off x="6257925" y="10658475"/>
          <a:ext cx="1400175" cy="962025"/>
        </a:xfrm>
        <a:prstGeom prst="rect">
          <a:avLst/>
        </a:prstGeom>
        <a:noFill/>
        <a:ln w="9525">
          <a:noFill/>
          <a:round/>
          <a:headEnd/>
          <a:tailEnd/>
        </a:ln>
      </xdr:spPr>
    </xdr:pic>
    <xdr:clientData/>
  </xdr:twoCellAnchor>
  <xdr:twoCellAnchor>
    <xdr:from>
      <xdr:col>1</xdr:col>
      <xdr:colOff>2905125</xdr:colOff>
      <xdr:row>26</xdr:row>
      <xdr:rowOff>85725</xdr:rowOff>
    </xdr:from>
    <xdr:to>
      <xdr:col>1</xdr:col>
      <xdr:colOff>4171950</xdr:colOff>
      <xdr:row>32</xdr:row>
      <xdr:rowOff>9525</xdr:rowOff>
    </xdr:to>
    <xdr:pic>
      <xdr:nvPicPr>
        <xdr:cNvPr id="2632736" name="Picture 12"/>
        <xdr:cNvPicPr>
          <a:picLocks noChangeAspect="1" noChangeArrowheads="1"/>
        </xdr:cNvPicPr>
      </xdr:nvPicPr>
      <xdr:blipFill>
        <a:blip xmlns:r="http://schemas.openxmlformats.org/officeDocument/2006/relationships" r:embed="rId3" cstate="print"/>
        <a:srcRect/>
        <a:stretch>
          <a:fillRect/>
        </a:stretch>
      </xdr:blipFill>
      <xdr:spPr bwMode="auto">
        <a:xfrm>
          <a:off x="3143250" y="10648950"/>
          <a:ext cx="1266825" cy="895350"/>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123825</xdr:colOff>
      <xdr:row>0</xdr:row>
      <xdr:rowOff>76200</xdr:rowOff>
    </xdr:from>
    <xdr:to>
      <xdr:col>23</xdr:col>
      <xdr:colOff>38100</xdr:colOff>
      <xdr:row>25</xdr:row>
      <xdr:rowOff>247650</xdr:rowOff>
    </xdr:to>
    <xdr:graphicFrame macro="">
      <xdr:nvGraphicFramePr>
        <xdr:cNvPr id="90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38100</xdr:colOff>
      <xdr:row>26</xdr:row>
      <xdr:rowOff>9525</xdr:rowOff>
    </xdr:from>
    <xdr:to>
      <xdr:col>24</xdr:col>
      <xdr:colOff>238125</xdr:colOff>
      <xdr:row>65</xdr:row>
      <xdr:rowOff>47625</xdr:rowOff>
    </xdr:to>
    <xdr:graphicFrame macro="">
      <xdr:nvGraphicFramePr>
        <xdr:cNvPr id="906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523875</xdr:colOff>
      <xdr:row>27</xdr:row>
      <xdr:rowOff>190500</xdr:rowOff>
    </xdr:from>
    <xdr:to>
      <xdr:col>23</xdr:col>
      <xdr:colOff>76200</xdr:colOff>
      <xdr:row>58</xdr:row>
      <xdr:rowOff>9525</xdr:rowOff>
    </xdr:to>
    <xdr:graphicFrame macro="">
      <xdr:nvGraphicFramePr>
        <xdr:cNvPr id="26358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466725</xdr:colOff>
      <xdr:row>3</xdr:row>
      <xdr:rowOff>104775</xdr:rowOff>
    </xdr:from>
    <xdr:to>
      <xdr:col>24</xdr:col>
      <xdr:colOff>438150</xdr:colOff>
      <xdr:row>27</xdr:row>
      <xdr:rowOff>104775</xdr:rowOff>
    </xdr:to>
    <xdr:graphicFrame macro="">
      <xdr:nvGraphicFramePr>
        <xdr:cNvPr id="263581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1524000</xdr:colOff>
      <xdr:row>66</xdr:row>
      <xdr:rowOff>85725</xdr:rowOff>
    </xdr:from>
    <xdr:to>
      <xdr:col>14</xdr:col>
      <xdr:colOff>9525</xdr:colOff>
      <xdr:row>105</xdr:row>
      <xdr:rowOff>152400</xdr:rowOff>
    </xdr:to>
    <xdr:graphicFrame macro="">
      <xdr:nvGraphicFramePr>
        <xdr:cNvPr id="263581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190500</xdr:colOff>
      <xdr:row>4</xdr:row>
      <xdr:rowOff>28575</xdr:rowOff>
    </xdr:from>
    <xdr:to>
      <xdr:col>39</xdr:col>
      <xdr:colOff>180975</xdr:colOff>
      <xdr:row>27</xdr:row>
      <xdr:rowOff>142875</xdr:rowOff>
    </xdr:to>
    <xdr:graphicFrame macro="">
      <xdr:nvGraphicFramePr>
        <xdr:cNvPr id="263581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Documento_di_Microsoft_Office_Word_97_-_20031.doc"/><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L26"/>
  <sheetViews>
    <sheetView workbookViewId="0">
      <selection activeCell="B14" sqref="B14"/>
    </sheetView>
  </sheetViews>
  <sheetFormatPr defaultColWidth="9" defaultRowHeight="12.75"/>
  <cols>
    <col min="1" max="1" width="4.1640625" style="3" customWidth="1"/>
    <col min="2" max="2" width="144.33203125" style="3" customWidth="1"/>
    <col min="3" max="16384" width="9" style="3"/>
  </cols>
  <sheetData>
    <row r="1" spans="1:12" ht="123" customHeight="1">
      <c r="B1" s="4"/>
    </row>
    <row r="2" spans="1:12" ht="26.25">
      <c r="A2" s="5"/>
      <c r="B2" s="6" t="s">
        <v>744</v>
      </c>
    </row>
    <row r="3" spans="1:12" ht="5.25" customHeight="1">
      <c r="A3" s="5"/>
      <c r="B3" s="7"/>
    </row>
    <row r="4" spans="1:12" hidden="1">
      <c r="A4" s="5"/>
      <c r="B4" s="5"/>
    </row>
    <row r="5" spans="1:12" s="10" customFormat="1" ht="15">
      <c r="A5" s="8"/>
      <c r="B5" s="9" t="s">
        <v>745</v>
      </c>
    </row>
    <row r="6" spans="1:12" s="10" customFormat="1" ht="15.75" customHeight="1" thickBot="1">
      <c r="A6" s="8"/>
    </row>
    <row r="7" spans="1:12" s="10" customFormat="1" ht="76.5" customHeight="1">
      <c r="A7" s="8"/>
      <c r="B7" s="11" t="s">
        <v>758</v>
      </c>
      <c r="C7" s="12"/>
      <c r="D7" s="12"/>
      <c r="E7" s="12"/>
      <c r="F7" s="12"/>
      <c r="G7" s="12"/>
      <c r="H7" s="12"/>
      <c r="I7" s="12"/>
      <c r="J7" s="12"/>
      <c r="K7" s="12"/>
      <c r="L7" s="12"/>
    </row>
    <row r="8" spans="1:12" s="10" customFormat="1" ht="8.25" customHeight="1">
      <c r="A8" s="8"/>
      <c r="B8" s="13"/>
    </row>
    <row r="9" spans="1:12" s="10" customFormat="1" ht="69" customHeight="1">
      <c r="A9" s="8"/>
      <c r="B9" s="14" t="s">
        <v>746</v>
      </c>
    </row>
    <row r="10" spans="1:12" s="10" customFormat="1" ht="10.5" customHeight="1">
      <c r="A10" s="8"/>
    </row>
    <row r="11" spans="1:12" s="10" customFormat="1" ht="57">
      <c r="A11" s="8"/>
      <c r="B11" s="15" t="s">
        <v>747</v>
      </c>
    </row>
    <row r="12" spans="1:12" s="10" customFormat="1" ht="10.5" customHeight="1" thickBot="1">
      <c r="A12" s="8"/>
    </row>
    <row r="13" spans="1:12" s="10" customFormat="1" ht="28.5">
      <c r="A13" s="8"/>
      <c r="B13" s="920" t="s">
        <v>778</v>
      </c>
    </row>
    <row r="14" spans="1:12" s="10" customFormat="1" ht="14.25">
      <c r="A14" s="8"/>
      <c r="B14" s="921" t="s">
        <v>749</v>
      </c>
    </row>
    <row r="15" spans="1:12" s="10" customFormat="1" ht="28.5">
      <c r="A15" s="8"/>
      <c r="B15" s="922" t="s">
        <v>750</v>
      </c>
    </row>
    <row r="16" spans="1:12" s="10" customFormat="1" ht="28.5">
      <c r="A16" s="8"/>
      <c r="B16" s="923" t="s">
        <v>751</v>
      </c>
    </row>
    <row r="17" spans="1:12" s="10" customFormat="1" ht="28.5">
      <c r="A17" s="8"/>
      <c r="B17" s="924" t="s">
        <v>748</v>
      </c>
    </row>
    <row r="18" spans="1:12" s="10" customFormat="1" ht="28.5">
      <c r="A18" s="8"/>
      <c r="B18" s="925" t="s">
        <v>752</v>
      </c>
      <c r="C18" s="16"/>
      <c r="D18" s="16"/>
      <c r="E18" s="16"/>
      <c r="F18" s="16"/>
      <c r="G18" s="16"/>
      <c r="H18" s="16"/>
      <c r="I18" s="16"/>
      <c r="J18" s="16"/>
      <c r="K18" s="16"/>
      <c r="L18" s="16"/>
    </row>
    <row r="19" spans="1:12" s="10" customFormat="1" ht="28.5">
      <c r="A19" s="8"/>
      <c r="B19" s="926" t="s">
        <v>753</v>
      </c>
      <c r="C19" s="16"/>
      <c r="D19" s="16"/>
      <c r="E19" s="16"/>
      <c r="F19" s="16"/>
      <c r="G19" s="16"/>
      <c r="H19" s="16"/>
      <c r="I19" s="16"/>
      <c r="J19" s="16"/>
      <c r="K19" s="16"/>
      <c r="L19" s="16"/>
    </row>
    <row r="20" spans="1:12" s="10" customFormat="1" ht="29.25" thickBot="1">
      <c r="A20" s="8"/>
      <c r="B20" s="927" t="s">
        <v>754</v>
      </c>
      <c r="C20" s="16"/>
      <c r="D20" s="16"/>
      <c r="E20" s="16"/>
      <c r="F20" s="16"/>
      <c r="G20" s="16"/>
      <c r="H20" s="16"/>
      <c r="I20" s="16"/>
      <c r="J20" s="16"/>
      <c r="K20" s="16"/>
      <c r="L20" s="16"/>
    </row>
    <row r="21" spans="1:12" s="10" customFormat="1" ht="12.75" customHeight="1" thickBot="1">
      <c r="A21" s="8"/>
      <c r="C21" s="16"/>
      <c r="D21" s="16"/>
      <c r="E21" s="16"/>
      <c r="F21" s="16"/>
      <c r="G21" s="16"/>
      <c r="H21" s="16"/>
      <c r="I21" s="16"/>
      <c r="J21" s="16"/>
      <c r="K21" s="16"/>
      <c r="L21" s="16"/>
    </row>
    <row r="22" spans="1:12" s="10" customFormat="1" ht="15.75" customHeight="1">
      <c r="A22" s="8"/>
      <c r="B22" s="17" t="s">
        <v>755</v>
      </c>
      <c r="C22" s="16"/>
      <c r="D22" s="16"/>
      <c r="E22" s="16"/>
      <c r="F22" s="16"/>
      <c r="G22" s="16"/>
      <c r="H22" s="16"/>
      <c r="I22" s="16"/>
      <c r="J22" s="16"/>
      <c r="K22" s="16"/>
      <c r="L22" s="16"/>
    </row>
    <row r="23" spans="1:12" s="10" customFormat="1" ht="36.75" customHeight="1">
      <c r="A23" s="8"/>
      <c r="B23" s="18" t="s">
        <v>756</v>
      </c>
    </row>
    <row r="24" spans="1:12" s="10" customFormat="1" ht="6.75" customHeight="1">
      <c r="A24" s="8"/>
      <c r="B24" s="18"/>
    </row>
    <row r="25" spans="1:12" s="10" customFormat="1" ht="114">
      <c r="A25" s="8"/>
      <c r="B25" s="19" t="s">
        <v>757</v>
      </c>
    </row>
    <row r="26" spans="1:12" s="10" customFormat="1" ht="14.25"/>
  </sheetData>
  <phoneticPr fontId="37" type="noConversion"/>
  <pageMargins left="0.74791666666666667" right="0.74791666666666667" top="0.98402777777777772" bottom="0.98402777777777772" header="0.51180555555555551" footer="0.51180555555555551"/>
  <pageSetup firstPageNumber="0" orientation="portrait" horizontalDpi="300" verticalDpi="300"/>
  <headerFooter alignWithMargins="0"/>
  <drawing r:id="rId1"/>
  <legacyDrawing r:id="rId2"/>
  <oleObjects>
    <oleObject progId="Microsoft Office Word 97-2003 Document" shapeId="1028" r:id="rId3"/>
  </oleObjects>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AY90"/>
  <sheetViews>
    <sheetView workbookViewId="0">
      <selection activeCell="J8" sqref="J8"/>
    </sheetView>
  </sheetViews>
  <sheetFormatPr defaultRowHeight="12.75"/>
  <cols>
    <col min="1" max="1" width="4.1640625" customWidth="1"/>
    <col min="2" max="2" width="50.33203125" customWidth="1"/>
    <col min="3" max="3" width="9.83203125" customWidth="1"/>
    <col min="4" max="4" width="22.1640625" customWidth="1"/>
    <col min="5" max="5" width="21" customWidth="1"/>
    <col min="6" max="6" width="3.83203125" customWidth="1"/>
    <col min="7" max="7" width="45.6640625" customWidth="1"/>
    <col min="8" max="8" width="12.83203125" customWidth="1"/>
  </cols>
  <sheetData>
    <row r="1" spans="1:51" s="57" customFormat="1" ht="15">
      <c r="A1" s="50"/>
      <c r="B1" s="51" t="s">
        <v>443</v>
      </c>
      <c r="C1" s="937" t="str">
        <f>Ogolne!D5</f>
        <v>Bydgoszcz</v>
      </c>
      <c r="D1" s="937"/>
      <c r="E1" s="937"/>
      <c r="F1" s="937"/>
      <c r="G1" s="278"/>
      <c r="H1" s="52"/>
      <c r="I1" s="52"/>
      <c r="J1" s="52"/>
      <c r="K1" s="52"/>
      <c r="L1" s="52"/>
      <c r="M1" s="52"/>
      <c r="N1" s="52"/>
      <c r="O1" s="52"/>
      <c r="P1" s="54"/>
      <c r="Q1" s="52"/>
      <c r="R1" s="52"/>
      <c r="S1" s="52"/>
      <c r="T1" s="52"/>
      <c r="U1" s="52"/>
      <c r="V1" s="52"/>
      <c r="W1" s="52"/>
      <c r="X1" s="52"/>
      <c r="Y1" s="52"/>
      <c r="Z1" s="52"/>
      <c r="AA1" s="52"/>
      <c r="AB1" s="50"/>
      <c r="AC1" s="50"/>
      <c r="AD1" s="50"/>
      <c r="AE1" s="50"/>
      <c r="AF1" s="50"/>
      <c r="AG1" s="50"/>
      <c r="AH1" s="50"/>
      <c r="AI1" s="50"/>
      <c r="AJ1" s="55"/>
      <c r="AK1" s="55"/>
      <c r="AL1" s="55"/>
      <c r="AM1" s="55"/>
      <c r="AN1" s="55"/>
      <c r="AO1" s="55"/>
      <c r="AP1" s="50"/>
      <c r="AQ1" s="56"/>
      <c r="AR1" s="50"/>
      <c r="AS1" s="50"/>
      <c r="AT1" s="50"/>
      <c r="AU1" s="50"/>
      <c r="AV1" s="50"/>
      <c r="AW1" s="50"/>
      <c r="AX1" s="50"/>
      <c r="AY1" s="50"/>
    </row>
    <row r="2" spans="1:51">
      <c r="A2" s="279"/>
      <c r="B2" s="279"/>
      <c r="C2" s="279"/>
      <c r="D2" s="279"/>
      <c r="E2" s="279"/>
      <c r="F2" s="279"/>
      <c r="G2" s="279"/>
      <c r="H2" s="279"/>
      <c r="I2" s="279"/>
      <c r="J2" s="279"/>
      <c r="K2" s="279"/>
      <c r="L2" s="279"/>
      <c r="M2" s="279"/>
      <c r="N2" s="279"/>
      <c r="O2" s="279"/>
      <c r="P2" s="279"/>
    </row>
    <row r="3" spans="1:51" ht="26.25">
      <c r="A3" s="279"/>
      <c r="B3" s="934" t="s">
        <v>478</v>
      </c>
      <c r="C3" s="934"/>
      <c r="D3" s="934"/>
      <c r="E3" s="934"/>
      <c r="F3" s="934"/>
      <c r="G3" s="934"/>
      <c r="H3" s="280"/>
      <c r="I3" s="279"/>
      <c r="J3" s="279"/>
      <c r="K3" s="279"/>
      <c r="L3" s="279"/>
      <c r="M3" s="279"/>
      <c r="N3" s="279"/>
      <c r="O3" s="279"/>
      <c r="P3" s="279"/>
      <c r="Q3" s="146"/>
      <c r="R3" s="146"/>
      <c r="S3" s="146"/>
    </row>
    <row r="4" spans="1:51" s="10" customFormat="1" ht="14.25">
      <c r="A4" s="281"/>
      <c r="B4" s="282" t="s">
        <v>395</v>
      </c>
      <c r="C4" s="278">
        <f>corpyear</f>
        <v>2005</v>
      </c>
      <c r="D4" s="283"/>
      <c r="E4" s="281"/>
      <c r="F4" s="281"/>
      <c r="G4" s="281"/>
      <c r="H4" s="281"/>
      <c r="I4" s="281"/>
      <c r="J4" s="281"/>
      <c r="K4" s="281"/>
      <c r="L4" s="281"/>
      <c r="M4" s="281"/>
      <c r="N4" s="281"/>
      <c r="O4" s="281"/>
      <c r="P4" s="281"/>
      <c r="Q4" s="8"/>
      <c r="R4" s="8"/>
      <c r="S4" s="8"/>
    </row>
    <row r="5" spans="1:51" s="10" customFormat="1" ht="14.25">
      <c r="A5" s="281"/>
      <c r="B5" s="283"/>
      <c r="C5" s="283"/>
      <c r="D5" s="283"/>
      <c r="E5" s="281"/>
      <c r="F5" s="281"/>
      <c r="G5" s="281"/>
      <c r="H5" s="281"/>
      <c r="I5" s="281"/>
      <c r="J5" s="281"/>
      <c r="K5" s="281"/>
      <c r="L5" s="281"/>
      <c r="M5" s="281"/>
      <c r="N5" s="281"/>
      <c r="O5" s="281"/>
      <c r="P5" s="281"/>
      <c r="Q5" s="8"/>
      <c r="R5" s="8"/>
      <c r="S5" s="8"/>
    </row>
    <row r="6" spans="1:51" s="10" customFormat="1" ht="14.25">
      <c r="A6" s="281"/>
      <c r="B6" s="284" t="s">
        <v>495</v>
      </c>
      <c r="C6" s="957" t="s">
        <v>479</v>
      </c>
      <c r="D6" s="957"/>
      <c r="E6" s="957"/>
      <c r="F6" s="957"/>
      <c r="G6" s="957"/>
      <c r="H6" s="281"/>
      <c r="I6" s="281"/>
      <c r="J6" s="281"/>
      <c r="K6" s="281"/>
      <c r="L6" s="281"/>
      <c r="M6" s="281"/>
      <c r="N6" s="281"/>
      <c r="O6" s="281"/>
      <c r="P6" s="281"/>
      <c r="Q6" s="8"/>
      <c r="R6" s="8"/>
      <c r="S6" s="8"/>
    </row>
    <row r="7" spans="1:51" s="10" customFormat="1" ht="14.25">
      <c r="A7" s="281"/>
      <c r="B7" s="285"/>
      <c r="C7" s="281"/>
      <c r="D7" s="281"/>
      <c r="E7" s="281"/>
      <c r="F7" s="281"/>
      <c r="G7" s="281"/>
      <c r="H7" s="281"/>
      <c r="I7" s="281"/>
      <c r="J7" s="281"/>
      <c r="K7" s="281"/>
      <c r="L7" s="281"/>
      <c r="M7" s="281"/>
      <c r="N7" s="281"/>
      <c r="O7" s="281"/>
      <c r="P7" s="281"/>
      <c r="Q7" s="8"/>
      <c r="R7" s="8"/>
      <c r="S7" s="8"/>
    </row>
    <row r="8" spans="1:51" s="10" customFormat="1" ht="15" thickBot="1">
      <c r="A8" s="281"/>
      <c r="B8" s="281"/>
      <c r="C8" s="281"/>
      <c r="D8" s="281"/>
      <c r="E8" s="281"/>
      <c r="F8" s="281"/>
      <c r="G8" s="281"/>
      <c r="H8" s="281"/>
      <c r="I8" s="281"/>
      <c r="J8" s="281"/>
      <c r="K8" s="281"/>
      <c r="L8" s="281"/>
      <c r="M8" s="281"/>
      <c r="N8" s="281"/>
      <c r="O8" s="281"/>
      <c r="P8" s="281"/>
      <c r="Q8" s="8"/>
      <c r="R8" s="8"/>
      <c r="S8" s="8"/>
    </row>
    <row r="9" spans="1:51" s="292" customFormat="1" ht="42" customHeight="1" thickBot="1">
      <c r="A9" s="286"/>
      <c r="B9" s="287" t="s">
        <v>480</v>
      </c>
      <c r="C9" s="288" t="s">
        <v>365</v>
      </c>
      <c r="D9" s="730" t="s">
        <v>483</v>
      </c>
      <c r="E9" s="731" t="s">
        <v>411</v>
      </c>
      <c r="F9" s="286"/>
      <c r="G9" s="290" t="s">
        <v>379</v>
      </c>
      <c r="H9" s="723" t="s">
        <v>484</v>
      </c>
      <c r="I9" s="286"/>
      <c r="J9" s="286"/>
      <c r="K9" s="286"/>
      <c r="L9" s="286"/>
      <c r="M9" s="286"/>
      <c r="N9" s="286"/>
      <c r="O9" s="286"/>
      <c r="P9" s="286"/>
      <c r="Q9" s="291"/>
      <c r="R9" s="291"/>
      <c r="S9" s="291"/>
    </row>
    <row r="10" spans="1:51" s="10" customFormat="1" ht="14.25">
      <c r="A10" s="281"/>
      <c r="B10" s="713" t="str">
        <f>'Sam-Odpady-WSAD'!B10</f>
        <v>Administracja Domów Miejskich "ADM" Sp. z o.o.</v>
      </c>
      <c r="C10" s="726" t="str">
        <f>'Sam-Odpady-WSAD'!C10</f>
        <v>ADM</v>
      </c>
      <c r="D10" s="728">
        <f>'Sam-Odpady-WSAD'!D10*'Sam-Odpady'!H10</f>
        <v>0</v>
      </c>
      <c r="E10" s="729">
        <f>D10*'Wskazniki emisji paliw'!N$32</f>
        <v>0</v>
      </c>
      <c r="F10" s="281"/>
      <c r="G10" s="296"/>
      <c r="H10" s="720">
        <f>'Sam-Odpady-WSAD'!H10</f>
        <v>1</v>
      </c>
      <c r="I10" s="281"/>
      <c r="J10" s="281"/>
      <c r="K10" s="281"/>
      <c r="L10" s="281"/>
      <c r="M10" s="281"/>
      <c r="N10" s="281"/>
      <c r="O10" s="281"/>
      <c r="P10" s="281"/>
      <c r="Q10" s="8"/>
      <c r="R10" s="8"/>
      <c r="S10" s="8"/>
    </row>
    <row r="11" spans="1:51" s="10" customFormat="1" ht="14.25">
      <c r="A11" s="281"/>
      <c r="B11" s="713" t="str">
        <f>'Sam-Odpady-WSAD'!B11</f>
        <v>Bydgoski Fundusz Poręczeń Kredytowych Sp. z o.o.</v>
      </c>
      <c r="C11" s="726" t="str">
        <f>'Sam-Odpady-WSAD'!C11</f>
        <v>BFPK</v>
      </c>
      <c r="D11" s="728">
        <f>'Sam-Odpady-WSAD'!D11*'Sam-Odpady'!H11</f>
        <v>0</v>
      </c>
      <c r="E11" s="729">
        <f>D11*'Wskazniki emisji paliw'!N$32</f>
        <v>0</v>
      </c>
      <c r="F11" s="281"/>
      <c r="G11" s="296"/>
      <c r="H11" s="720">
        <f>'Sam-Odpady-WSAD'!H11</f>
        <v>0.50019999999999998</v>
      </c>
      <c r="I11" s="281"/>
      <c r="J11" s="281"/>
      <c r="K11" s="281"/>
      <c r="L11" s="281"/>
      <c r="M11" s="281"/>
      <c r="N11" s="281"/>
      <c r="O11" s="281"/>
      <c r="P11" s="281"/>
      <c r="Q11" s="8"/>
      <c r="R11" s="8"/>
      <c r="S11" s="8"/>
    </row>
    <row r="12" spans="1:51" s="10" customFormat="1" ht="14.25">
      <c r="A12" s="281"/>
      <c r="B12" s="713" t="str">
        <f>'Sam-Odpady-WSAD'!B12</f>
        <v>Bydgoski Ośrodek Rehabilitacji ,Terapii Uzależnień i Profilaktyki "BORPA"</v>
      </c>
      <c r="C12" s="726" t="str">
        <f>'Sam-Odpady-WSAD'!C12</f>
        <v>BORPA</v>
      </c>
      <c r="D12" s="728">
        <f>'Sam-Odpady-WSAD'!D12*'Sam-Odpady'!H12</f>
        <v>5.33</v>
      </c>
      <c r="E12" s="729">
        <f>D12*'Wskazniki emisji paliw'!N$32</f>
        <v>3.4458449999999998</v>
      </c>
      <c r="F12" s="281"/>
      <c r="G12" s="296"/>
      <c r="H12" s="720">
        <f>'Sam-Odpady-WSAD'!H12</f>
        <v>1</v>
      </c>
      <c r="I12" s="281"/>
      <c r="J12" s="281"/>
      <c r="K12" s="281"/>
      <c r="L12" s="281"/>
      <c r="M12" s="281"/>
      <c r="N12" s="281"/>
      <c r="O12" s="281"/>
      <c r="P12" s="281"/>
      <c r="Q12" s="8"/>
      <c r="R12" s="8"/>
      <c r="S12" s="8"/>
    </row>
    <row r="13" spans="1:51" s="10" customFormat="1" ht="14.25">
      <c r="A13" s="281"/>
      <c r="B13" s="713" t="str">
        <f>'Sam-Odpady-WSAD'!B13</f>
        <v>Bydgoski Park Przemysłowy Sp. z o.o.</v>
      </c>
      <c r="C13" s="726" t="str">
        <f>'Sam-Odpady-WSAD'!C13</f>
        <v>BPP</v>
      </c>
      <c r="D13" s="728">
        <f>'Sam-Odpady-WSAD'!D13*'Sam-Odpady'!H13</f>
        <v>3.8249999999999999E-2</v>
      </c>
      <c r="E13" s="729">
        <f>D13*'Wskazniki emisji paliw'!N$32</f>
        <v>2.4728624999999997E-2</v>
      </c>
      <c r="F13" s="281"/>
      <c r="G13" s="296"/>
      <c r="H13" s="720">
        <f>'Sam-Odpady-WSAD'!H13</f>
        <v>0.153</v>
      </c>
      <c r="I13" s="281"/>
      <c r="J13" s="281"/>
      <c r="K13" s="281"/>
      <c r="L13" s="281"/>
      <c r="M13" s="281"/>
      <c r="N13" s="281"/>
      <c r="O13" s="281"/>
      <c r="P13" s="281"/>
      <c r="Q13" s="8"/>
      <c r="R13" s="8"/>
      <c r="S13" s="8"/>
    </row>
    <row r="14" spans="1:51" s="10" customFormat="1" ht="14.25">
      <c r="A14" s="281"/>
      <c r="B14" s="713" t="str">
        <f>'Sam-Odpady-WSAD'!B14</f>
        <v>Bydgoskie Towarzystwo Budownictwa Społecznego Sp. z o.o.</v>
      </c>
      <c r="C14" s="726" t="str">
        <f>'Sam-Odpady-WSAD'!C14</f>
        <v>BTBS</v>
      </c>
      <c r="D14" s="728">
        <f>'Sam-Odpady-WSAD'!D14*'Sam-Odpady'!H14</f>
        <v>360.59</v>
      </c>
      <c r="E14" s="729">
        <f>D14*'Wskazniki emisji paliw'!N$32</f>
        <v>233.12143499999996</v>
      </c>
      <c r="F14" s="281"/>
      <c r="G14" s="296"/>
      <c r="H14" s="720">
        <f>'Sam-Odpady-WSAD'!H14</f>
        <v>1</v>
      </c>
      <c r="I14" s="281"/>
      <c r="J14" s="281"/>
      <c r="K14" s="281"/>
      <c r="L14" s="281"/>
      <c r="M14" s="281"/>
      <c r="N14" s="281"/>
      <c r="O14" s="281"/>
      <c r="P14" s="281"/>
      <c r="Q14" s="8"/>
      <c r="R14" s="8"/>
      <c r="S14" s="8"/>
    </row>
    <row r="15" spans="1:51" s="10" customFormat="1" ht="14.25">
      <c r="A15" s="281"/>
      <c r="B15" s="713" t="str">
        <f>'Sam-Odpady-WSAD'!B15</f>
        <v>Galeria Miejska BWA</v>
      </c>
      <c r="C15" s="726" t="str">
        <f>'Sam-Odpady-WSAD'!C15</f>
        <v>GMBWA</v>
      </c>
      <c r="D15" s="728">
        <f>'Sam-Odpady-WSAD'!D15*'Sam-Odpady'!H15</f>
        <v>5.27</v>
      </c>
      <c r="E15" s="729">
        <f>D15*'Wskazniki emisji paliw'!N$32</f>
        <v>3.4070549999999997</v>
      </c>
      <c r="F15" s="281"/>
      <c r="G15" s="296"/>
      <c r="H15" s="720">
        <f>'Sam-Odpady-WSAD'!H15</f>
        <v>1</v>
      </c>
      <c r="I15" s="281"/>
      <c r="J15" s="281"/>
      <c r="K15" s="281"/>
      <c r="L15" s="281"/>
      <c r="M15" s="281"/>
      <c r="N15" s="281"/>
      <c r="O15" s="281"/>
      <c r="P15" s="281"/>
      <c r="Q15" s="8"/>
      <c r="R15" s="8"/>
      <c r="S15" s="8"/>
    </row>
    <row r="16" spans="1:51" s="10" customFormat="1" ht="14.25">
      <c r="A16" s="281"/>
      <c r="B16" s="713" t="str">
        <f>'Sam-Odpady-WSAD'!B16</f>
        <v xml:space="preserve">Hala Sportowo-WKodowiskowa Łuczniczka Bydgoszcz </v>
      </c>
      <c r="C16" s="726" t="str">
        <f>'Sam-Odpady-WSAD'!C16</f>
        <v>HSW</v>
      </c>
      <c r="D16" s="728">
        <f>'Sam-Odpady-WSAD'!D16*'Sam-Odpady'!H16</f>
        <v>37.24</v>
      </c>
      <c r="E16" s="729">
        <f>D16*'Wskazniki emisji paliw'!N$32</f>
        <v>24.075659999999999</v>
      </c>
      <c r="F16" s="281"/>
      <c r="G16" s="296"/>
      <c r="H16" s="720">
        <f>'Sam-Odpady-WSAD'!H16</f>
        <v>1</v>
      </c>
      <c r="I16" s="281"/>
      <c r="J16" s="281"/>
      <c r="K16" s="281"/>
      <c r="L16" s="281"/>
      <c r="M16" s="281"/>
      <c r="N16" s="281"/>
      <c r="O16" s="281"/>
      <c r="P16" s="281"/>
      <c r="Q16" s="8"/>
      <c r="R16" s="8"/>
      <c r="S16" s="8"/>
    </row>
    <row r="17" spans="1:19" s="10" customFormat="1" ht="14.25">
      <c r="A17" s="281"/>
      <c r="B17" s="713" t="str">
        <f>'Sam-Odpady-WSAD'!B17</f>
        <v xml:space="preserve">Izba Wytrzeźwień w Bydgoszczy </v>
      </c>
      <c r="C17" s="726" t="str">
        <f>'Sam-Odpady-WSAD'!C17</f>
        <v>IW</v>
      </c>
      <c r="D17" s="728">
        <f>'Sam-Odpady-WSAD'!D17*'Sam-Odpady'!H17</f>
        <v>2.71</v>
      </c>
      <c r="E17" s="729">
        <f>D17*'Wskazniki emisji paliw'!N$32</f>
        <v>1.7520149999999999</v>
      </c>
      <c r="F17" s="281"/>
      <c r="G17" s="296"/>
      <c r="H17" s="720">
        <f>'Sam-Odpady-WSAD'!H17</f>
        <v>1</v>
      </c>
      <c r="I17" s="281"/>
      <c r="J17" s="281"/>
      <c r="K17" s="281"/>
      <c r="L17" s="281"/>
      <c r="M17" s="281"/>
      <c r="N17" s="281"/>
      <c r="O17" s="281"/>
      <c r="P17" s="281"/>
      <c r="Q17" s="8"/>
      <c r="R17" s="8"/>
      <c r="S17" s="8"/>
    </row>
    <row r="18" spans="1:19" s="10" customFormat="1" ht="14.25">
      <c r="A18" s="281"/>
      <c r="B18" s="713" t="str">
        <f>'Sam-Odpady-WSAD'!B18</f>
        <v>Komunalne Przedsiębiorstwo Energetyki Cieplnej Sp. z o.o.</v>
      </c>
      <c r="C18" s="726" t="str">
        <f>'Sam-Odpady-WSAD'!C18</f>
        <v>KPEC</v>
      </c>
      <c r="D18" s="728">
        <f>'Sam-Odpady-WSAD'!D18*'Sam-Odpady'!H18</f>
        <v>50.554504000000001</v>
      </c>
      <c r="E18" s="729">
        <f>D18*'Wskazniki emisji paliw'!N$32</f>
        <v>32.683486836</v>
      </c>
      <c r="F18" s="281"/>
      <c r="G18" s="296"/>
      <c r="H18" s="720">
        <f>'Sam-Odpady-WSAD'!H18</f>
        <v>0.40039999999999998</v>
      </c>
      <c r="I18" s="281"/>
      <c r="J18" s="281"/>
      <c r="K18" s="281"/>
      <c r="L18" s="281"/>
      <c r="M18" s="281"/>
      <c r="N18" s="281"/>
      <c r="O18" s="281"/>
      <c r="P18" s="281"/>
      <c r="Q18" s="8"/>
      <c r="R18" s="8"/>
      <c r="S18" s="8"/>
    </row>
    <row r="19" spans="1:19" s="10" customFormat="1" ht="14.25">
      <c r="A19" s="281"/>
      <c r="B19" s="713" t="str">
        <f>'Sam-Odpady-WSAD'!B19</f>
        <v>Leśny Park Kultury i Wypoczynku "Myślęcinek" Sp. z o.o.</v>
      </c>
      <c r="C19" s="726" t="str">
        <f>'Sam-Odpady-WSAD'!C19</f>
        <v>LPKIW</v>
      </c>
      <c r="D19" s="728">
        <f>'Sam-Odpady-WSAD'!D19*'Sam-Odpady'!H19</f>
        <v>63.5</v>
      </c>
      <c r="E19" s="729">
        <f>D19*'Wskazniki emisji paliw'!N$32</f>
        <v>41.052749999999996</v>
      </c>
      <c r="F19" s="281"/>
      <c r="G19" s="296"/>
      <c r="H19" s="720">
        <f>'Sam-Odpady-WSAD'!H19</f>
        <v>1</v>
      </c>
      <c r="I19" s="281"/>
      <c r="J19" s="281"/>
      <c r="K19" s="281"/>
      <c r="L19" s="281"/>
      <c r="M19" s="281"/>
      <c r="N19" s="281"/>
      <c r="O19" s="281"/>
      <c r="P19" s="281"/>
      <c r="Q19" s="8"/>
      <c r="R19" s="8"/>
      <c r="S19" s="8"/>
    </row>
    <row r="20" spans="1:19" s="10" customFormat="1" ht="14.25">
      <c r="A20" s="281"/>
      <c r="B20" s="713" t="str">
        <f>'Sam-Odpady-WSAD'!B20</f>
        <v xml:space="preserve">Bydgoski Klub Sportowy Chemik </v>
      </c>
      <c r="C20" s="726" t="str">
        <f>'Sam-Odpady-WSAD'!C20</f>
        <v>BKSC</v>
      </c>
      <c r="D20" s="728">
        <f>'Sam-Odpady-WSAD'!D20*'Sam-Odpady'!H20</f>
        <v>138.32</v>
      </c>
      <c r="E20" s="729">
        <f>D20*'Wskazniki emisji paliw'!N$32</f>
        <v>89.423879999999997</v>
      </c>
      <c r="F20" s="281"/>
      <c r="G20" s="296"/>
      <c r="H20" s="720">
        <f>'Sam-Odpady-WSAD'!H20</f>
        <v>1</v>
      </c>
      <c r="I20" s="281"/>
      <c r="J20" s="281"/>
      <c r="K20" s="281"/>
      <c r="L20" s="281"/>
      <c r="M20" s="281"/>
      <c r="N20" s="281"/>
      <c r="O20" s="281"/>
      <c r="P20" s="281"/>
      <c r="Q20" s="8"/>
      <c r="R20" s="8"/>
      <c r="S20" s="8"/>
    </row>
    <row r="21" spans="1:19" s="10" customFormat="1" ht="14.25">
      <c r="A21" s="281"/>
      <c r="B21" s="713" t="str">
        <f>'Sam-Odpady-WSAD'!B21</f>
        <v>Miejska Pracownia Geodezyjna w Bydgoszczy</v>
      </c>
      <c r="C21" s="726" t="str">
        <f>'Sam-Odpady-WSAD'!C21</f>
        <v>MPG</v>
      </c>
      <c r="D21" s="728">
        <f>'Sam-Odpady-WSAD'!D21*'Sam-Odpady'!H21</f>
        <v>0</v>
      </c>
      <c r="E21" s="729">
        <f>D21*'Wskazniki emisji paliw'!N$32</f>
        <v>0</v>
      </c>
      <c r="F21" s="281"/>
      <c r="G21" s="296"/>
      <c r="H21" s="720">
        <f>'Sam-Odpady-WSAD'!H21</f>
        <v>1</v>
      </c>
      <c r="I21" s="281"/>
      <c r="J21" s="281"/>
      <c r="K21" s="281"/>
      <c r="L21" s="281"/>
      <c r="M21" s="281"/>
      <c r="N21" s="281"/>
      <c r="O21" s="281"/>
      <c r="P21" s="281"/>
      <c r="Q21" s="8"/>
      <c r="R21" s="8"/>
      <c r="S21" s="8"/>
    </row>
    <row r="22" spans="1:19" s="10" customFormat="1" ht="14.25">
      <c r="A22" s="281"/>
      <c r="B22" s="713" t="str">
        <f>'Sam-Odpady-WSAD'!B22</f>
        <v>Miejski Ośrodek Kultury w Bydgoszczy</v>
      </c>
      <c r="C22" s="726" t="str">
        <f>'Sam-Odpady-WSAD'!C22</f>
        <v>MOK</v>
      </c>
      <c r="D22" s="728">
        <f>'Sam-Odpady-WSAD'!D22*'Sam-Odpady'!H22</f>
        <v>119.83</v>
      </c>
      <c r="E22" s="729">
        <f>D22*'Wskazniki emisji paliw'!N$32</f>
        <v>77.470095000000001</v>
      </c>
      <c r="F22" s="281"/>
      <c r="G22" s="296"/>
      <c r="H22" s="720">
        <f>'Sam-Odpady-WSAD'!H22</f>
        <v>1</v>
      </c>
      <c r="I22" s="281"/>
      <c r="J22" s="281"/>
      <c r="K22" s="281"/>
      <c r="L22" s="281"/>
      <c r="M22" s="281"/>
      <c r="N22" s="281"/>
      <c r="O22" s="281"/>
      <c r="P22" s="281"/>
      <c r="Q22" s="8"/>
      <c r="R22" s="8"/>
      <c r="S22" s="8"/>
    </row>
    <row r="23" spans="1:19" s="10" customFormat="1" ht="14.25">
      <c r="A23" s="281"/>
      <c r="B23" s="713" t="str">
        <f>'Sam-Odpady-WSAD'!B23</f>
        <v>Miejski Ośrodek Pomocy Społecznej - DPS i Domy Dziecka</v>
      </c>
      <c r="C23" s="726" t="str">
        <f>'Sam-Odpady-WSAD'!C23</f>
        <v>MOPS</v>
      </c>
      <c r="D23" s="728">
        <f>'Sam-Odpady-WSAD'!D23*'Sam-Odpady'!H23</f>
        <v>35.40992</v>
      </c>
      <c r="E23" s="729">
        <f>D23*'Wskazniki emisji paliw'!N$32</f>
        <v>22.892513279999999</v>
      </c>
      <c r="F23" s="281"/>
      <c r="G23" s="296"/>
      <c r="H23" s="720">
        <f>'Sam-Odpady-WSAD'!H23</f>
        <v>1</v>
      </c>
      <c r="I23" s="281"/>
      <c r="J23" s="281"/>
      <c r="K23" s="281"/>
      <c r="L23" s="281"/>
      <c r="M23" s="281"/>
      <c r="N23" s="281"/>
      <c r="O23" s="281"/>
      <c r="P23" s="281"/>
      <c r="Q23" s="8"/>
      <c r="R23" s="8"/>
      <c r="S23" s="8"/>
    </row>
    <row r="24" spans="1:19" s="10" customFormat="1" ht="14.25">
      <c r="A24" s="281"/>
      <c r="B24" s="713" t="str">
        <f>'Sam-Odpady-WSAD'!B24</f>
        <v>Miejski Ośrodek Pomocy Społecznej - MOPS ogólne</v>
      </c>
      <c r="C24" s="726" t="str">
        <f>'Sam-Odpady-WSAD'!C24</f>
        <v>MOPS</v>
      </c>
      <c r="D24" s="728">
        <f>'Sam-Odpady-WSAD'!D24*'Sam-Odpady'!H24</f>
        <v>154.65696000000003</v>
      </c>
      <c r="E24" s="729">
        <f>D24*'Wskazniki emisji paliw'!N$32</f>
        <v>99.985724640000015</v>
      </c>
      <c r="F24" s="281"/>
      <c r="G24" s="296"/>
      <c r="H24" s="720">
        <f>'Sam-Odpady-WSAD'!H24</f>
        <v>1</v>
      </c>
      <c r="I24" s="281"/>
      <c r="J24" s="281"/>
      <c r="K24" s="281"/>
      <c r="L24" s="281"/>
      <c r="M24" s="281"/>
      <c r="N24" s="281"/>
      <c r="O24" s="281"/>
      <c r="P24" s="281"/>
      <c r="Q24" s="8"/>
      <c r="R24" s="8"/>
      <c r="S24" s="8"/>
    </row>
    <row r="25" spans="1:19" s="10" customFormat="1" ht="14.25">
      <c r="A25" s="281"/>
      <c r="B25" s="713" t="str">
        <f>'Sam-Odpady-WSAD'!B25</f>
        <v>Miejski Ośrodek Pomocy Społecznej - ZPOW</v>
      </c>
      <c r="C25" s="726" t="str">
        <f>'Sam-Odpady-WSAD'!C25</f>
        <v>MOPS</v>
      </c>
      <c r="D25" s="728">
        <f>'Sam-Odpady-WSAD'!D25*'Sam-Odpady'!H25</f>
        <v>403.9</v>
      </c>
      <c r="E25" s="729">
        <f>D25*'Wskazniki emisji paliw'!N$32</f>
        <v>261.12134999999995</v>
      </c>
      <c r="F25" s="281"/>
      <c r="G25" s="296"/>
      <c r="H25" s="720">
        <f>'Sam-Odpady-WSAD'!H25</f>
        <v>1</v>
      </c>
      <c r="I25" s="281"/>
      <c r="J25" s="281"/>
      <c r="K25" s="281"/>
      <c r="L25" s="281"/>
      <c r="M25" s="281"/>
      <c r="N25" s="281"/>
      <c r="O25" s="281"/>
      <c r="P25" s="281"/>
      <c r="Q25" s="8"/>
      <c r="R25" s="8"/>
      <c r="S25" s="8"/>
    </row>
    <row r="26" spans="1:19" s="10" customFormat="1" ht="14.25">
      <c r="A26" s="281"/>
      <c r="B26" s="713" t="str">
        <f>'Sam-Odpady-WSAD'!B26</f>
        <v>Miejskie Wodociągi i Kanalizacja Sp. z o.o. - budynki administracyjno-techniczne</v>
      </c>
      <c r="C26" s="726" t="str">
        <f>'Sam-Odpady-WSAD'!C26</f>
        <v>MWIK</v>
      </c>
      <c r="D26" s="728">
        <f>'Sam-Odpady-WSAD'!D26*'Sam-Odpady'!H26</f>
        <v>238.3</v>
      </c>
      <c r="E26" s="729">
        <f>D26*'Wskazniki emisji paliw'!N$32</f>
        <v>154.06094999999999</v>
      </c>
      <c r="F26" s="281"/>
      <c r="G26" s="296"/>
      <c r="H26" s="720">
        <f>'Sam-Odpady-WSAD'!H26</f>
        <v>1</v>
      </c>
      <c r="I26" s="281"/>
      <c r="J26" s="281"/>
      <c r="K26" s="281"/>
      <c r="L26" s="281"/>
      <c r="M26" s="281"/>
      <c r="N26" s="281"/>
      <c r="O26" s="281"/>
      <c r="P26" s="281"/>
      <c r="Q26" s="8"/>
      <c r="R26" s="8"/>
      <c r="S26" s="8"/>
    </row>
    <row r="27" spans="1:19" s="10" customFormat="1" ht="14.25">
      <c r="A27" s="281"/>
      <c r="B27" s="713" t="str">
        <f>'Sam-Odpady-WSAD'!B27</f>
        <v>Miejskie Zakłady Komunikacyjne Sp. z o.o. w Bydgoszczy</v>
      </c>
      <c r="C27" s="726" t="str">
        <f>'Sam-Odpady-WSAD'!C27</f>
        <v>MZK</v>
      </c>
      <c r="D27" s="728">
        <f>'Sam-Odpady-WSAD'!D27*'Sam-Odpady'!H27</f>
        <v>175.96</v>
      </c>
      <c r="E27" s="729">
        <f>D27*'Wskazniki emisji paliw'!N$32</f>
        <v>113.75814</v>
      </c>
      <c r="F27" s="281"/>
      <c r="G27" s="296"/>
      <c r="H27" s="720">
        <f>'Sam-Odpady-WSAD'!H27</f>
        <v>1</v>
      </c>
      <c r="I27" s="281"/>
      <c r="J27" s="281"/>
      <c r="K27" s="281"/>
      <c r="L27" s="281"/>
      <c r="M27" s="281"/>
      <c r="N27" s="281"/>
      <c r="O27" s="281"/>
      <c r="P27" s="281"/>
      <c r="Q27" s="8"/>
      <c r="R27" s="8"/>
      <c r="S27" s="8"/>
    </row>
    <row r="28" spans="1:19" s="10" customFormat="1" ht="14.25">
      <c r="A28" s="281"/>
      <c r="B28" s="713" t="str">
        <f>'Sam-Odpady-WSAD'!B28</f>
        <v>Międzygminny Kompleks Unieszkodliwiania Odpadów ProNatura</v>
      </c>
      <c r="C28" s="726" t="str">
        <f>'Sam-Odpady-WSAD'!C28</f>
        <v>MKUO</v>
      </c>
      <c r="D28" s="728">
        <f>'Sam-Odpady-WSAD'!D28*'Sam-Odpady'!H28</f>
        <v>0</v>
      </c>
      <c r="E28" s="729">
        <f>D28*'Wskazniki emisji paliw'!N$32</f>
        <v>0</v>
      </c>
      <c r="F28" s="281"/>
      <c r="G28" s="296"/>
      <c r="H28" s="720">
        <f>'Sam-Odpady-WSAD'!H28</f>
        <v>1</v>
      </c>
      <c r="I28" s="281"/>
      <c r="J28" s="281"/>
      <c r="K28" s="281"/>
      <c r="L28" s="281"/>
      <c r="M28" s="281"/>
      <c r="N28" s="281"/>
      <c r="O28" s="281"/>
      <c r="P28" s="281"/>
      <c r="Q28" s="8"/>
      <c r="R28" s="8"/>
      <c r="S28" s="8"/>
    </row>
    <row r="29" spans="1:19" s="10" customFormat="1" ht="14.25">
      <c r="A29" s="281"/>
      <c r="B29" s="713" t="str">
        <f>'Sam-Odpady-WSAD'!B29</f>
        <v>Muzeum Okręgowe im. Leona Wyczółkowskiego w Bydgoszczy</v>
      </c>
      <c r="C29" s="726" t="str">
        <f>'Sam-Odpady-WSAD'!C29</f>
        <v>MOLW</v>
      </c>
      <c r="D29" s="728">
        <f>'Sam-Odpady-WSAD'!D29*'Sam-Odpady'!H29</f>
        <v>0</v>
      </c>
      <c r="E29" s="729">
        <f>D29*'Wskazniki emisji paliw'!N$32</f>
        <v>0</v>
      </c>
      <c r="F29" s="281"/>
      <c r="G29" s="296"/>
      <c r="H29" s="720">
        <f>'Sam-Odpady-WSAD'!H29</f>
        <v>1</v>
      </c>
      <c r="I29" s="281"/>
      <c r="J29" s="281"/>
      <c r="K29" s="281"/>
      <c r="L29" s="281"/>
      <c r="M29" s="281"/>
      <c r="N29" s="281"/>
      <c r="O29" s="281"/>
      <c r="P29" s="281"/>
      <c r="Q29" s="8"/>
      <c r="R29" s="8"/>
      <c r="S29" s="8"/>
    </row>
    <row r="30" spans="1:19" s="10" customFormat="1" ht="14.25">
      <c r="A30" s="281"/>
      <c r="B30" s="713" t="str">
        <f>'Sam-Odpady-WSAD'!B30</f>
        <v>Port Lotniczy Bydgoszcz S.A.</v>
      </c>
      <c r="C30" s="726" t="str">
        <f>'Sam-Odpady-WSAD'!C30</f>
        <v>PLB</v>
      </c>
      <c r="D30" s="728">
        <f>'Sam-Odpady-WSAD'!D30*'Sam-Odpady'!H30</f>
        <v>23.320447999999999</v>
      </c>
      <c r="E30" s="729">
        <f>D30*'Wskazniki emisji paliw'!N$32</f>
        <v>15.076669631999998</v>
      </c>
      <c r="F30" s="281"/>
      <c r="G30" s="296"/>
      <c r="H30" s="720">
        <f>'Sam-Odpady-WSAD'!H30</f>
        <v>0.5504</v>
      </c>
      <c r="I30" s="281"/>
      <c r="J30" s="281"/>
      <c r="K30" s="281"/>
      <c r="L30" s="281"/>
      <c r="M30" s="281"/>
      <c r="N30" s="281"/>
      <c r="O30" s="281"/>
      <c r="P30" s="281"/>
      <c r="Q30" s="8"/>
      <c r="R30" s="8"/>
      <c r="S30" s="8"/>
    </row>
    <row r="31" spans="1:19" s="10" customFormat="1" ht="14.25">
      <c r="A31" s="281"/>
      <c r="B31" s="713" t="str">
        <f>'Sam-Odpady-WSAD'!B31</f>
        <v>Powiatowy Urząd Pracy w Bydgoszczy</v>
      </c>
      <c r="C31" s="726" t="str">
        <f>'Sam-Odpady-WSAD'!C31</f>
        <v>PUP</v>
      </c>
      <c r="D31" s="728">
        <f>'Sam-Odpady-WSAD'!D31*'Sam-Odpady'!H31</f>
        <v>15.22</v>
      </c>
      <c r="E31" s="729">
        <f>D31*'Wskazniki emisji paliw'!N$32</f>
        <v>9.8397299999999994</v>
      </c>
      <c r="F31" s="281"/>
      <c r="G31" s="296"/>
      <c r="H31" s="720">
        <f>'Sam-Odpady-WSAD'!H31</f>
        <v>1</v>
      </c>
      <c r="I31" s="281"/>
      <c r="J31" s="281"/>
      <c r="K31" s="281"/>
      <c r="L31" s="281"/>
      <c r="M31" s="281"/>
      <c r="N31" s="281"/>
      <c r="O31" s="281"/>
      <c r="P31" s="281"/>
      <c r="Q31" s="8"/>
      <c r="R31" s="8"/>
      <c r="S31" s="8"/>
    </row>
    <row r="32" spans="1:19" s="10" customFormat="1" ht="14.25">
      <c r="A32" s="281"/>
      <c r="B32" s="713" t="str">
        <f>'Sam-Odpady-WSAD'!B32</f>
        <v>Schronisko dla Zwierząt w Bydgoszczy</v>
      </c>
      <c r="C32" s="726" t="str">
        <f>'Sam-Odpady-WSAD'!C32</f>
        <v>SZ</v>
      </c>
      <c r="D32" s="728">
        <f>'Sam-Odpady-WSAD'!D32*'Sam-Odpady'!H32</f>
        <v>35.910000000000004</v>
      </c>
      <c r="E32" s="729">
        <f>D32*'Wskazniki emisji paliw'!N$32</f>
        <v>23.215815000000003</v>
      </c>
      <c r="F32" s="281"/>
      <c r="G32" s="296"/>
      <c r="H32" s="720">
        <f>'Sam-Odpady-WSAD'!H32</f>
        <v>1</v>
      </c>
      <c r="I32" s="281"/>
      <c r="J32" s="281"/>
      <c r="K32" s="281"/>
      <c r="L32" s="281"/>
      <c r="M32" s="281"/>
      <c r="N32" s="281"/>
      <c r="O32" s="281"/>
      <c r="P32" s="281"/>
      <c r="Q32" s="8"/>
      <c r="R32" s="8"/>
      <c r="S32" s="8"/>
    </row>
    <row r="33" spans="1:19" s="10" customFormat="1" ht="14.25">
      <c r="A33" s="281"/>
      <c r="B33" s="713" t="str">
        <f>'Sam-Odpady-WSAD'!B33</f>
        <v>Spółka Wodna Kapuściska w Bydgoszczy</v>
      </c>
      <c r="C33" s="726" t="str">
        <f>'Sam-Odpady-WSAD'!C33</f>
        <v>SWK</v>
      </c>
      <c r="D33" s="728">
        <f>'Sam-Odpady-WSAD'!D33*'Sam-Odpady'!H33</f>
        <v>7708.0349999999999</v>
      </c>
      <c r="E33" s="729">
        <f>D33*'Wskazniki emisji paliw'!N$32</f>
        <v>4983.2446274999993</v>
      </c>
      <c r="F33" s="281"/>
      <c r="G33" s="296"/>
      <c r="H33" s="720">
        <f>'Sam-Odpady-WSAD'!H33</f>
        <v>0.5</v>
      </c>
      <c r="I33" s="281"/>
      <c r="J33" s="281"/>
      <c r="K33" s="281"/>
      <c r="L33" s="281"/>
      <c r="M33" s="281"/>
      <c r="N33" s="281"/>
      <c r="O33" s="281"/>
      <c r="P33" s="281"/>
      <c r="Q33" s="8"/>
      <c r="R33" s="8"/>
      <c r="S33" s="8"/>
    </row>
    <row r="34" spans="1:19" s="10" customFormat="1" ht="14.25">
      <c r="A34" s="281"/>
      <c r="B34" s="713" t="str">
        <f>'Sam-Odpady-WSAD'!B34</f>
        <v>Straż Miejska w Bydgoszczy</v>
      </c>
      <c r="C34" s="726" t="str">
        <f>'Sam-Odpady-WSAD'!C34</f>
        <v>SM</v>
      </c>
      <c r="D34" s="728">
        <f>'Sam-Odpady-WSAD'!D34*'Sam-Odpady'!H34</f>
        <v>0</v>
      </c>
      <c r="E34" s="729">
        <f>D34*'Wskazniki emisji paliw'!N$32</f>
        <v>0</v>
      </c>
      <c r="F34" s="281"/>
      <c r="G34" s="296"/>
      <c r="H34" s="720">
        <f>'Sam-Odpady-WSAD'!H34</f>
        <v>1</v>
      </c>
      <c r="I34" s="281"/>
      <c r="J34" s="281"/>
      <c r="K34" s="281"/>
      <c r="L34" s="281"/>
      <c r="M34" s="281"/>
      <c r="N34" s="281"/>
      <c r="O34" s="281"/>
      <c r="P34" s="281"/>
      <c r="Q34" s="8"/>
      <c r="R34" s="8"/>
      <c r="S34" s="8"/>
    </row>
    <row r="35" spans="1:19" s="10" customFormat="1" ht="14.25">
      <c r="A35" s="281"/>
      <c r="B35" s="713" t="str">
        <f>'Sam-Odpady-WSAD'!B35</f>
        <v>Teatr Polski im. Hieronima Konieczki w Bydgoszczy</v>
      </c>
      <c r="C35" s="726" t="str">
        <f>'Sam-Odpady-WSAD'!C35</f>
        <v>TP</v>
      </c>
      <c r="D35" s="728">
        <f>'Sam-Odpady-WSAD'!D35*'Sam-Odpady'!H35</f>
        <v>34.58</v>
      </c>
      <c r="E35" s="729">
        <f>D35*'Wskazniki emisji paliw'!N$32</f>
        <v>22.355969999999999</v>
      </c>
      <c r="F35" s="281"/>
      <c r="G35" s="296"/>
      <c r="H35" s="720">
        <f>'Sam-Odpady-WSAD'!H35</f>
        <v>1</v>
      </c>
      <c r="I35" s="281"/>
      <c r="J35" s="281"/>
      <c r="K35" s="281"/>
      <c r="L35" s="281"/>
      <c r="M35" s="281"/>
      <c r="N35" s="281"/>
      <c r="O35" s="281"/>
      <c r="P35" s="281"/>
      <c r="Q35" s="8"/>
      <c r="R35" s="8"/>
      <c r="S35" s="8"/>
    </row>
    <row r="36" spans="1:19" s="10" customFormat="1" ht="14.25">
      <c r="A36" s="281"/>
      <c r="B36" s="713" t="str">
        <f>'Sam-Odpady-WSAD'!B36</f>
        <v>Tramwaj Fordon Sp. z o.o.</v>
      </c>
      <c r="C36" s="726" t="str">
        <f>'Sam-Odpady-WSAD'!C36</f>
        <v>TF</v>
      </c>
      <c r="D36" s="728">
        <f>'Sam-Odpady-WSAD'!D36*'Sam-Odpady'!H36</f>
        <v>0</v>
      </c>
      <c r="E36" s="729">
        <f>D36*'Wskazniki emisji paliw'!N$32</f>
        <v>0</v>
      </c>
      <c r="F36" s="281"/>
      <c r="G36" s="296"/>
      <c r="H36" s="720">
        <f>'Sam-Odpady-WSAD'!H36</f>
        <v>1</v>
      </c>
      <c r="I36" s="281"/>
      <c r="J36" s="281"/>
      <c r="K36" s="281"/>
      <c r="L36" s="281"/>
      <c r="M36" s="281"/>
      <c r="N36" s="281"/>
      <c r="O36" s="281"/>
      <c r="P36" s="281"/>
      <c r="Q36" s="8"/>
      <c r="R36" s="8"/>
      <c r="S36" s="8"/>
    </row>
    <row r="37" spans="1:19" s="10" customFormat="1" ht="14.25">
      <c r="A37" s="281"/>
      <c r="B37" s="713" t="str">
        <f>'Sam-Odpady-WSAD'!B37</f>
        <v>Wielospecjalistyczny Szpital Miejski im. dr Emila Warmińskiego SPZOZ w Bydgoszczy</v>
      </c>
      <c r="C37" s="726" t="str">
        <f>'Sam-Odpady-WSAD'!C37</f>
        <v>WSM</v>
      </c>
      <c r="D37" s="728">
        <f>'Sam-Odpady-WSAD'!D37*'Sam-Odpady'!H37</f>
        <v>546.78</v>
      </c>
      <c r="E37" s="729">
        <f>D37*'Wskazniki emisji paliw'!N$32</f>
        <v>353.49326999999994</v>
      </c>
      <c r="F37" s="281"/>
      <c r="G37" s="296"/>
      <c r="H37" s="720">
        <f>'Sam-Odpady-WSAD'!H37</f>
        <v>1</v>
      </c>
      <c r="I37" s="281"/>
      <c r="J37" s="281"/>
      <c r="K37" s="281"/>
      <c r="L37" s="281"/>
      <c r="M37" s="281"/>
      <c r="N37" s="281"/>
      <c r="O37" s="281"/>
      <c r="P37" s="281"/>
      <c r="Q37" s="8"/>
      <c r="R37" s="8"/>
      <c r="S37" s="8"/>
    </row>
    <row r="38" spans="1:19" s="10" customFormat="1" ht="14.25">
      <c r="A38" s="281"/>
      <c r="B38" s="713" t="str">
        <f>'Sam-Odpady-WSAD'!B38</f>
        <v xml:space="preserve">Cywilno Wojskowy Związek Sportowy Zawisza Bydgoszcz </v>
      </c>
      <c r="C38" s="726" t="str">
        <f>'Sam-Odpady-WSAD'!C38</f>
        <v>CWZS</v>
      </c>
      <c r="D38" s="728">
        <f>'Sam-Odpady-WSAD'!D38*'Sam-Odpady'!H38</f>
        <v>61.180000000000007</v>
      </c>
      <c r="E38" s="729">
        <f>D38*'Wskazniki emisji paliw'!N$32</f>
        <v>39.552869999999999</v>
      </c>
      <c r="F38" s="281"/>
      <c r="G38" s="296"/>
      <c r="H38" s="720">
        <f>'Sam-Odpady-WSAD'!H38</f>
        <v>1</v>
      </c>
      <c r="I38" s="281"/>
      <c r="J38" s="281"/>
      <c r="K38" s="281"/>
      <c r="L38" s="281"/>
      <c r="M38" s="281"/>
      <c r="N38" s="281"/>
      <c r="O38" s="281"/>
      <c r="P38" s="281"/>
      <c r="Q38" s="8"/>
      <c r="R38" s="8"/>
      <c r="S38" s="8"/>
    </row>
    <row r="39" spans="1:19" s="10" customFormat="1" ht="14.25">
      <c r="A39" s="281"/>
      <c r="B39" s="713" t="str">
        <f>'Sam-Odpady-WSAD'!B39</f>
        <v>Wojewódzka i Miejska Biblioteka Publiczna im. dr Witolda Bełzy w Bydgoszczy</v>
      </c>
      <c r="C39" s="726" t="str">
        <f>'Sam-Odpady-WSAD'!C39</f>
        <v>BIBLIO</v>
      </c>
      <c r="D39" s="728">
        <f>'Sam-Odpady-WSAD'!D39*'Sam-Odpady'!H39</f>
        <v>6.43</v>
      </c>
      <c r="E39" s="729">
        <f>D39*'Wskazniki emisji paliw'!N$32</f>
        <v>4.1569949999999993</v>
      </c>
      <c r="F39" s="281"/>
      <c r="G39" s="296"/>
      <c r="H39" s="720">
        <f>'Sam-Odpady-WSAD'!H39</f>
        <v>1</v>
      </c>
      <c r="I39" s="281"/>
      <c r="J39" s="281"/>
      <c r="K39" s="281"/>
      <c r="L39" s="281"/>
      <c r="M39" s="281"/>
      <c r="N39" s="281"/>
      <c r="O39" s="281"/>
      <c r="P39" s="281"/>
      <c r="Q39" s="8"/>
      <c r="R39" s="8"/>
      <c r="S39" s="8"/>
    </row>
    <row r="40" spans="1:19" s="10" customFormat="1" ht="14.25">
      <c r="A40" s="281"/>
      <c r="B40" s="713" t="str">
        <f>'Sam-Odpady-WSAD'!B40</f>
        <v>Wydział Edukacji, Urząd Miasta Bydgoszczy  - bursy, schroniska</v>
      </c>
      <c r="C40" s="726" t="str">
        <f>'Sam-Odpady-WSAD'!C40</f>
        <v>WE</v>
      </c>
      <c r="D40" s="728">
        <f>'Sam-Odpady-WSAD'!D40*'Sam-Odpady'!H40</f>
        <v>57.860320000000009</v>
      </c>
      <c r="E40" s="729">
        <f>D40*'Wskazniki emisji paliw'!N$32</f>
        <v>37.406696880000005</v>
      </c>
      <c r="F40" s="281"/>
      <c r="G40" s="296"/>
      <c r="H40" s="720">
        <f>'Sam-Odpady-WSAD'!H40</f>
        <v>1</v>
      </c>
      <c r="I40" s="281"/>
      <c r="J40" s="281"/>
      <c r="K40" s="281"/>
      <c r="L40" s="281"/>
      <c r="M40" s="281"/>
      <c r="N40" s="281"/>
      <c r="O40" s="281"/>
      <c r="P40" s="281"/>
      <c r="Q40" s="8"/>
      <c r="R40" s="8"/>
      <c r="S40" s="8"/>
    </row>
    <row r="41" spans="1:19" s="10" customFormat="1" ht="14.25">
      <c r="A41" s="281"/>
      <c r="B41" s="713" t="str">
        <f>'Sam-Odpady-WSAD'!B41</f>
        <v>Wydział Edukacji, Urząd Miasta Bydgoszczy  - gimnazja</v>
      </c>
      <c r="C41" s="726" t="str">
        <f>'Sam-Odpady-WSAD'!C41</f>
        <v>WE</v>
      </c>
      <c r="D41" s="728">
        <f>'Sam-Odpady-WSAD'!D41*'Sam-Odpady'!H41</f>
        <v>232.89630000000002</v>
      </c>
      <c r="E41" s="729">
        <f>D41*'Wskazniki emisji paliw'!N$32</f>
        <v>150.56745795</v>
      </c>
      <c r="F41" s="281"/>
      <c r="G41" s="296"/>
      <c r="H41" s="720">
        <f>'Sam-Odpady-WSAD'!H41</f>
        <v>1</v>
      </c>
      <c r="I41" s="281"/>
      <c r="J41" s="281"/>
      <c r="K41" s="281"/>
      <c r="L41" s="281"/>
      <c r="M41" s="281"/>
      <c r="N41" s="281"/>
      <c r="O41" s="281"/>
      <c r="P41" s="281"/>
      <c r="Q41" s="8"/>
      <c r="R41" s="8"/>
      <c r="S41" s="8"/>
    </row>
    <row r="42" spans="1:19" s="10" customFormat="1" ht="14.25">
      <c r="A42" s="281"/>
      <c r="B42" s="713" t="str">
        <f>'Sam-Odpady-WSAD'!B42</f>
        <v>Wydział Edukacji, Urząd Miasta Bydgoszczy  - inne szkoły</v>
      </c>
      <c r="C42" s="726" t="str">
        <f>'Sam-Odpady-WSAD'!C42</f>
        <v>WE</v>
      </c>
      <c r="D42" s="728">
        <f>'Sam-Odpady-WSAD'!D42*'Sam-Odpady'!H42</f>
        <v>85.412600000000012</v>
      </c>
      <c r="E42" s="729">
        <f>D42*'Wskazniki emisji paliw'!N$32</f>
        <v>55.219245900000004</v>
      </c>
      <c r="F42" s="281"/>
      <c r="G42" s="296"/>
      <c r="H42" s="720">
        <f>'Sam-Odpady-WSAD'!H42</f>
        <v>1</v>
      </c>
      <c r="I42" s="281"/>
      <c r="J42" s="281"/>
      <c r="K42" s="281"/>
      <c r="L42" s="281"/>
      <c r="M42" s="281"/>
      <c r="N42" s="281"/>
      <c r="O42" s="281"/>
      <c r="P42" s="281"/>
      <c r="Q42" s="8"/>
      <c r="R42" s="8"/>
      <c r="S42" s="8"/>
    </row>
    <row r="43" spans="1:19" s="10" customFormat="1" ht="14.25">
      <c r="A43" s="281"/>
      <c r="B43" s="713" t="str">
        <f>'Sam-Odpady-WSAD'!B43</f>
        <v>Wydział Edukacji, Urząd Miasta Bydgoszczy  - MDK</v>
      </c>
      <c r="C43" s="726" t="str">
        <f>'Sam-Odpady-WSAD'!C43</f>
        <v>WE</v>
      </c>
      <c r="D43" s="728">
        <f>'Sam-Odpady-WSAD'!D43*'Sam-Odpady'!H43</f>
        <v>544.54</v>
      </c>
      <c r="E43" s="729">
        <f>D43*'Wskazniki emisji paliw'!N$32</f>
        <v>352.04510999999997</v>
      </c>
      <c r="F43" s="281"/>
      <c r="G43" s="296"/>
      <c r="H43" s="720">
        <f>'Sam-Odpady-WSAD'!H43</f>
        <v>1</v>
      </c>
      <c r="I43" s="281"/>
      <c r="J43" s="281"/>
      <c r="K43" s="281"/>
      <c r="L43" s="281"/>
      <c r="M43" s="281"/>
      <c r="N43" s="281"/>
      <c r="O43" s="281"/>
      <c r="P43" s="281"/>
      <c r="Q43" s="8"/>
      <c r="R43" s="8"/>
      <c r="S43" s="8"/>
    </row>
    <row r="44" spans="1:19" s="10" customFormat="1" ht="14.25">
      <c r="A44" s="281"/>
      <c r="B44" s="713" t="str">
        <f>'Sam-Odpady-WSAD'!B44</f>
        <v>Wydział Edukacji, Urząd Miasta Bydgoszczy  - ośrodki</v>
      </c>
      <c r="C44" s="726" t="str">
        <f>'Sam-Odpady-WSAD'!C44</f>
        <v>WE</v>
      </c>
      <c r="D44" s="728">
        <f>'Sam-Odpady-WSAD'!D44*'Sam-Odpady'!H44</f>
        <v>7.0224000000000002</v>
      </c>
      <c r="E44" s="729">
        <f>D44*'Wskazniki emisji paliw'!N$32</f>
        <v>4.5399816</v>
      </c>
      <c r="F44" s="281"/>
      <c r="G44" s="296"/>
      <c r="H44" s="720">
        <f>'Sam-Odpady-WSAD'!H44</f>
        <v>1</v>
      </c>
      <c r="I44" s="281"/>
      <c r="J44" s="281"/>
      <c r="K44" s="281"/>
      <c r="L44" s="281"/>
      <c r="M44" s="281"/>
      <c r="N44" s="281"/>
      <c r="O44" s="281"/>
      <c r="P44" s="281"/>
      <c r="Q44" s="8"/>
      <c r="R44" s="8"/>
      <c r="S44" s="8"/>
    </row>
    <row r="45" spans="1:19" s="10" customFormat="1" ht="14.25">
      <c r="A45" s="281"/>
      <c r="B45" s="713" t="str">
        <f>'Sam-Odpady-WSAD'!B45</f>
        <v>Wydział Edukacji, Urząd Miasta Bydgoszczy  - poradnie</v>
      </c>
      <c r="C45" s="726" t="str">
        <f>'Sam-Odpady-WSAD'!C45</f>
        <v>WE</v>
      </c>
      <c r="D45" s="728">
        <f>'Sam-Odpady-WSAD'!D45*'Sam-Odpady'!H45</f>
        <v>14.31878</v>
      </c>
      <c r="E45" s="729">
        <f>D45*'Wskazniki emisji paliw'!N$32</f>
        <v>9.2570912700000001</v>
      </c>
      <c r="F45" s="281"/>
      <c r="G45" s="296"/>
      <c r="H45" s="720">
        <f>'Sam-Odpady-WSAD'!H45</f>
        <v>1</v>
      </c>
      <c r="I45" s="281"/>
      <c r="J45" s="281"/>
      <c r="K45" s="281"/>
      <c r="L45" s="281"/>
      <c r="M45" s="281"/>
      <c r="N45" s="281"/>
      <c r="O45" s="281"/>
      <c r="P45" s="281"/>
      <c r="Q45" s="8"/>
      <c r="R45" s="8"/>
      <c r="S45" s="8"/>
    </row>
    <row r="46" spans="1:19" s="10" customFormat="1" ht="14.25">
      <c r="A46" s="281"/>
      <c r="B46" s="713" t="str">
        <f>'Sam-Odpady-WSAD'!B46</f>
        <v>Wydział Edukacji, Urząd Miasta Bydgoszczy  - przedszkola</v>
      </c>
      <c r="C46" s="726" t="str">
        <f>'Sam-Odpady-WSAD'!C46</f>
        <v>WE</v>
      </c>
      <c r="D46" s="728">
        <f>'Sam-Odpady-WSAD'!D46*'Sam-Odpady'!H46</f>
        <v>137.62840000000003</v>
      </c>
      <c r="E46" s="729">
        <f>D46*'Wskazniki emisji paliw'!N$32</f>
        <v>88.976760600000006</v>
      </c>
      <c r="F46" s="281"/>
      <c r="G46" s="296"/>
      <c r="H46" s="720">
        <f>'Sam-Odpady-WSAD'!H46</f>
        <v>1</v>
      </c>
      <c r="I46" s="281"/>
      <c r="J46" s="281"/>
      <c r="K46" s="281"/>
      <c r="L46" s="281"/>
      <c r="M46" s="281"/>
      <c r="N46" s="281"/>
      <c r="O46" s="281"/>
      <c r="P46" s="281"/>
      <c r="Q46" s="8"/>
      <c r="R46" s="8"/>
      <c r="S46" s="8"/>
    </row>
    <row r="47" spans="1:19" s="10" customFormat="1" ht="14.25">
      <c r="A47" s="281"/>
      <c r="B47" s="713" t="str">
        <f>'Sam-Odpady-WSAD'!B47</f>
        <v>Wydział Edukacji, Urząd Miasta Bydgoszczy  - szkoły podstawowe</v>
      </c>
      <c r="C47" s="726" t="str">
        <f>'Sam-Odpady-WSAD'!C47</f>
        <v>WE</v>
      </c>
      <c r="D47" s="728">
        <f>'Sam-Odpady-WSAD'!D47*'Sam-Odpady'!H47</f>
        <v>353.81192000000004</v>
      </c>
      <c r="E47" s="729">
        <f>D47*'Wskazniki emisji paliw'!N$32</f>
        <v>228.73940628000003</v>
      </c>
      <c r="F47" s="281"/>
      <c r="G47" s="296"/>
      <c r="H47" s="720">
        <f>'Sam-Odpady-WSAD'!H47</f>
        <v>1</v>
      </c>
      <c r="I47" s="281"/>
      <c r="J47" s="281"/>
      <c r="K47" s="281"/>
      <c r="L47" s="281"/>
      <c r="M47" s="281"/>
      <c r="N47" s="281"/>
      <c r="O47" s="281"/>
      <c r="P47" s="281"/>
      <c r="Q47" s="8"/>
      <c r="R47" s="8"/>
      <c r="S47" s="8"/>
    </row>
    <row r="48" spans="1:19" s="10" customFormat="1" ht="14.25">
      <c r="A48" s="281"/>
      <c r="B48" s="713" t="str">
        <f>'Sam-Odpady-WSAD'!B48</f>
        <v>Wydział Edukacji, Urząd Miasta Bydgoszczy  - zespoły szkół</v>
      </c>
      <c r="C48" s="726" t="str">
        <f>'Sam-Odpady-WSAD'!C48</f>
        <v>WE</v>
      </c>
      <c r="D48" s="728">
        <f>'Sam-Odpady-WSAD'!D48*'Sam-Odpady'!H48</f>
        <v>4674.17</v>
      </c>
      <c r="E48" s="729">
        <f>D48*'Wskazniki emisji paliw'!N$32</f>
        <v>3021.8509049999998</v>
      </c>
      <c r="F48" s="281"/>
      <c r="G48" s="296"/>
      <c r="H48" s="720">
        <f>'Sam-Odpady-WSAD'!H48</f>
        <v>1</v>
      </c>
      <c r="I48" s="281"/>
      <c r="J48" s="281"/>
      <c r="K48" s="281"/>
      <c r="L48" s="281"/>
      <c r="M48" s="281"/>
      <c r="N48" s="281"/>
      <c r="O48" s="281"/>
      <c r="P48" s="281"/>
      <c r="Q48" s="8"/>
      <c r="R48" s="8"/>
      <c r="S48" s="8"/>
    </row>
    <row r="49" spans="1:19" s="10" customFormat="1" ht="14.25">
      <c r="A49" s="281"/>
      <c r="B49" s="713" t="str">
        <f>'Sam-Odpady-WSAD'!B49</f>
        <v>Wydział Obsługi Urzędu, Urząd Miasta Bydgoszczy</v>
      </c>
      <c r="C49" s="726" t="str">
        <f>'Sam-Odpady-WSAD'!C49</f>
        <v>WOU</v>
      </c>
      <c r="D49" s="728">
        <f>'Sam-Odpady-WSAD'!D49*'Sam-Odpady'!H49</f>
        <v>214.4</v>
      </c>
      <c r="E49" s="729">
        <f>D49*'Wskazniki emisji paliw'!N$32</f>
        <v>138.6096</v>
      </c>
      <c r="F49" s="281"/>
      <c r="G49" s="296"/>
      <c r="H49" s="720">
        <f>'Sam-Odpady-WSAD'!H49</f>
        <v>1</v>
      </c>
      <c r="I49" s="281"/>
      <c r="J49" s="281"/>
      <c r="K49" s="281"/>
      <c r="L49" s="281"/>
      <c r="M49" s="281"/>
      <c r="N49" s="281"/>
      <c r="O49" s="281"/>
      <c r="P49" s="281"/>
      <c r="Q49" s="8"/>
      <c r="R49" s="8"/>
      <c r="S49" s="8"/>
    </row>
    <row r="50" spans="1:19" s="10" customFormat="1" ht="14.25">
      <c r="A50" s="281"/>
      <c r="B50" s="713" t="str">
        <f>'Sam-Odpady-WSAD'!B50</f>
        <v>Zakład Robót Publicznych</v>
      </c>
      <c r="C50" s="726" t="str">
        <f>'Sam-Odpady-WSAD'!C50</f>
        <v>ZRP</v>
      </c>
      <c r="D50" s="728">
        <f>'Sam-Odpady-WSAD'!D50*'Sam-Odpady'!H50</f>
        <v>1341.58</v>
      </c>
      <c r="E50" s="729">
        <f>D50*'Wskazniki emisji paliw'!N$32</f>
        <v>867.33146999999985</v>
      </c>
      <c r="F50" s="281"/>
      <c r="G50" s="296"/>
      <c r="H50" s="720">
        <f>'Sam-Odpady-WSAD'!H50</f>
        <v>1</v>
      </c>
      <c r="I50" s="281"/>
      <c r="J50" s="281"/>
      <c r="K50" s="281"/>
      <c r="L50" s="281"/>
      <c r="M50" s="281"/>
      <c r="N50" s="281"/>
      <c r="O50" s="281"/>
      <c r="P50" s="281"/>
      <c r="Q50" s="8"/>
      <c r="R50" s="8"/>
      <c r="S50" s="8"/>
    </row>
    <row r="51" spans="1:19" s="10" customFormat="1" ht="14.25">
      <c r="A51" s="281"/>
      <c r="B51" s="713" t="str">
        <f>'Sam-Odpady-WSAD'!B51</f>
        <v>Zarząd Dróg Miejskich i Komunikacji Publicznej w Bydgoszczy</v>
      </c>
      <c r="C51" s="726" t="str">
        <f>'Sam-Odpady-WSAD'!C51</f>
        <v>ZDMIKP</v>
      </c>
      <c r="D51" s="728">
        <f>'Sam-Odpady-WSAD'!D51*'Sam-Odpady'!H51</f>
        <v>30.43</v>
      </c>
      <c r="E51" s="729">
        <f>D51*'Wskazniki emisji paliw'!N$32</f>
        <v>19.672995</v>
      </c>
      <c r="F51" s="281"/>
      <c r="G51" s="296"/>
      <c r="H51" s="720">
        <f>'Sam-Odpady-WSAD'!H51</f>
        <v>1</v>
      </c>
      <c r="I51" s="281"/>
      <c r="J51" s="281"/>
      <c r="K51" s="281"/>
      <c r="L51" s="281"/>
      <c r="M51" s="281"/>
      <c r="N51" s="281"/>
      <c r="O51" s="281"/>
      <c r="P51" s="281"/>
      <c r="Q51" s="8"/>
      <c r="R51" s="8"/>
      <c r="S51" s="8"/>
    </row>
    <row r="52" spans="1:19" s="10" customFormat="1" ht="14.25">
      <c r="A52" s="281"/>
      <c r="B52" s="713" t="str">
        <f>'Sam-Odpady-WSAD'!B52</f>
        <v xml:space="preserve">Zespół Żłobków Miejskich </v>
      </c>
      <c r="C52" s="726" t="str">
        <f>'Sam-Odpady-WSAD'!C52</f>
        <v>ZZM</v>
      </c>
      <c r="D52" s="728">
        <f>'Sam-Odpady-WSAD'!D52*'Sam-Odpady'!H52</f>
        <v>23.63</v>
      </c>
      <c r="E52" s="729">
        <f>D52*'Wskazniki emisji paliw'!N$32</f>
        <v>15.276794999999998</v>
      </c>
      <c r="F52" s="281"/>
      <c r="G52" s="296"/>
      <c r="H52" s="720">
        <f>'Sam-Odpady-WSAD'!H52</f>
        <v>1</v>
      </c>
      <c r="I52" s="281"/>
      <c r="J52" s="281"/>
      <c r="K52" s="281"/>
      <c r="L52" s="281"/>
      <c r="M52" s="281"/>
      <c r="N52" s="281"/>
      <c r="O52" s="281"/>
      <c r="P52" s="281"/>
      <c r="Q52" s="8"/>
      <c r="R52" s="8"/>
      <c r="S52" s="8"/>
    </row>
    <row r="53" spans="1:19" s="10" customFormat="1" ht="14.25">
      <c r="A53" s="281"/>
      <c r="B53" s="713" t="str">
        <f>'Sam-Odpady-WSAD'!B53</f>
        <v>Bydgoskie Towarzystwo Żużlowe Polonia</v>
      </c>
      <c r="C53" s="726" t="str">
        <f>'Sam-Odpady-WSAD'!C53</f>
        <v>BTZP</v>
      </c>
      <c r="D53" s="728">
        <f>'Sam-Odpady-WSAD'!D53*'Sam-Odpady'!H53</f>
        <v>40</v>
      </c>
      <c r="E53" s="729">
        <f>D53*'Wskazniki emisji paliw'!N$32</f>
        <v>25.86</v>
      </c>
      <c r="F53" s="281"/>
      <c r="G53" s="296"/>
      <c r="H53" s="720">
        <f>'Sam-Odpady-WSAD'!H53</f>
        <v>1</v>
      </c>
      <c r="I53" s="281"/>
      <c r="J53" s="281"/>
      <c r="K53" s="281"/>
      <c r="L53" s="281"/>
      <c r="M53" s="281"/>
      <c r="N53" s="281"/>
      <c r="O53" s="281"/>
      <c r="P53" s="281"/>
      <c r="Q53" s="8"/>
      <c r="R53" s="8"/>
      <c r="S53" s="8"/>
    </row>
    <row r="54" spans="1:19" s="10" customFormat="1" ht="14.25">
      <c r="A54" s="281"/>
      <c r="B54" s="714"/>
      <c r="C54" s="711"/>
      <c r="D54" s="728">
        <f>'Sam-Odpady-WSAD'!D54*'Sam-Odpady'!H54</f>
        <v>0</v>
      </c>
      <c r="E54" s="729">
        <f>D54*'Wskazniki emisji paliw'!N$32</f>
        <v>0</v>
      </c>
      <c r="F54" s="281"/>
      <c r="G54" s="296"/>
      <c r="H54" s="720"/>
      <c r="I54" s="281"/>
      <c r="J54" s="281"/>
      <c r="K54" s="281"/>
      <c r="L54" s="281"/>
      <c r="M54" s="281"/>
      <c r="N54" s="281"/>
      <c r="O54" s="281"/>
      <c r="P54" s="281"/>
      <c r="Q54" s="8"/>
      <c r="R54" s="8"/>
      <c r="S54" s="8"/>
    </row>
    <row r="55" spans="1:19" s="10" customFormat="1" ht="14.25">
      <c r="A55" s="281"/>
      <c r="B55" s="714"/>
      <c r="C55" s="711"/>
      <c r="D55" s="728">
        <f>'Sam-Odpady-WSAD'!D55*'Sam-Odpady'!H55</f>
        <v>0</v>
      </c>
      <c r="E55" s="729">
        <f>D55*'Wskazniki emisji paliw'!N$32</f>
        <v>0</v>
      </c>
      <c r="F55" s="281"/>
      <c r="G55" s="296"/>
      <c r="H55" s="720"/>
      <c r="I55" s="281"/>
      <c r="J55" s="281"/>
      <c r="K55" s="281"/>
      <c r="L55" s="281"/>
      <c r="M55" s="281"/>
      <c r="N55" s="281"/>
      <c r="O55" s="281"/>
      <c r="P55" s="281"/>
      <c r="Q55" s="8"/>
      <c r="R55" s="8"/>
      <c r="S55" s="8"/>
    </row>
    <row r="56" spans="1:19" s="10" customFormat="1" ht="14.25">
      <c r="A56" s="281"/>
      <c r="B56" s="714"/>
      <c r="C56" s="711"/>
      <c r="D56" s="728">
        <f>'Sam-Odpady-WSAD'!D56*'Sam-Odpady'!H56</f>
        <v>0</v>
      </c>
      <c r="E56" s="729">
        <f>D56*'Wskazniki emisji paliw'!N$32</f>
        <v>0</v>
      </c>
      <c r="F56" s="281"/>
      <c r="G56" s="296"/>
      <c r="H56" s="720"/>
      <c r="I56" s="281"/>
      <c r="J56" s="281"/>
      <c r="K56" s="281"/>
      <c r="L56" s="281"/>
      <c r="M56" s="281"/>
      <c r="N56" s="281"/>
      <c r="O56" s="281"/>
      <c r="P56" s="281"/>
      <c r="Q56" s="8"/>
      <c r="R56" s="8"/>
      <c r="S56" s="8"/>
    </row>
    <row r="57" spans="1:19" s="10" customFormat="1" ht="14.25">
      <c r="A57" s="281"/>
      <c r="B57" s="714"/>
      <c r="C57" s="711"/>
      <c r="D57" s="728">
        <f>'Sam-Odpady-WSAD'!D57*'Sam-Odpady'!H57</f>
        <v>0</v>
      </c>
      <c r="E57" s="729">
        <f>D57*'Wskazniki emisji paliw'!N$32</f>
        <v>0</v>
      </c>
      <c r="F57" s="281"/>
      <c r="G57" s="296"/>
      <c r="H57" s="720"/>
      <c r="I57" s="281"/>
      <c r="J57" s="281"/>
      <c r="K57" s="281"/>
      <c r="L57" s="281"/>
      <c r="M57" s="281"/>
      <c r="N57" s="281"/>
      <c r="O57" s="281"/>
      <c r="P57" s="281"/>
      <c r="Q57" s="8"/>
      <c r="R57" s="8"/>
      <c r="S57" s="8"/>
    </row>
    <row r="58" spans="1:19" s="10" customFormat="1" ht="14.25">
      <c r="A58" s="281"/>
      <c r="B58" s="714"/>
      <c r="C58" s="711"/>
      <c r="D58" s="728">
        <f>'Sam-Odpady-WSAD'!D58*'Sam-Odpady'!H58</f>
        <v>0</v>
      </c>
      <c r="E58" s="729">
        <f>D58*'Wskazniki emisji paliw'!N$32</f>
        <v>0</v>
      </c>
      <c r="F58" s="281"/>
      <c r="G58" s="296"/>
      <c r="H58" s="720"/>
      <c r="I58" s="281"/>
      <c r="J58" s="281"/>
      <c r="K58" s="281"/>
      <c r="L58" s="281"/>
      <c r="M58" s="281"/>
      <c r="N58" s="281"/>
      <c r="O58" s="281"/>
      <c r="P58" s="281"/>
      <c r="Q58" s="8"/>
      <c r="R58" s="8"/>
      <c r="S58" s="8"/>
    </row>
    <row r="59" spans="1:19" s="10" customFormat="1" ht="14.25">
      <c r="A59" s="281"/>
      <c r="B59" s="714"/>
      <c r="C59" s="711"/>
      <c r="D59" s="728">
        <f>'Sam-Odpady-WSAD'!D59*'Sam-Odpady'!H59</f>
        <v>0</v>
      </c>
      <c r="E59" s="729">
        <f>D59*'Wskazniki emisji paliw'!N$32</f>
        <v>0</v>
      </c>
      <c r="F59" s="281"/>
      <c r="G59" s="296"/>
      <c r="H59" s="720"/>
      <c r="I59" s="281"/>
      <c r="J59" s="281"/>
      <c r="K59" s="281"/>
      <c r="L59" s="281"/>
      <c r="M59" s="281"/>
      <c r="N59" s="281"/>
      <c r="O59" s="281"/>
      <c r="P59" s="281"/>
      <c r="Q59" s="8"/>
      <c r="R59" s="8"/>
      <c r="S59" s="8"/>
    </row>
    <row r="60" spans="1:19" s="10" customFormat="1" ht="14.25">
      <c r="A60" s="281"/>
      <c r="B60" s="727"/>
      <c r="C60" s="726"/>
      <c r="D60" s="728">
        <f>'Sam-Odpady-WSAD'!D60*'Sam-Odpady'!H60</f>
        <v>0</v>
      </c>
      <c r="E60" s="295">
        <f>D60*'Wskazniki emisji paliw'!N$32</f>
        <v>0</v>
      </c>
      <c r="F60" s="281"/>
      <c r="G60" s="296"/>
      <c r="H60" s="720"/>
      <c r="I60" s="281"/>
      <c r="J60" s="281"/>
      <c r="K60" s="281"/>
      <c r="L60" s="281"/>
      <c r="M60" s="281"/>
      <c r="N60" s="281"/>
      <c r="O60" s="281"/>
      <c r="P60" s="281"/>
      <c r="Q60" s="8"/>
      <c r="R60" s="8"/>
      <c r="S60" s="8"/>
    </row>
    <row r="61" spans="1:19" s="10" customFormat="1" ht="14.25">
      <c r="A61" s="281"/>
      <c r="B61" s="300" t="s">
        <v>441</v>
      </c>
      <c r="C61" s="301"/>
      <c r="D61" s="728">
        <f>'Sam-Odpady-WSAD'!D61*'Sam-Odpady'!H61</f>
        <v>0</v>
      </c>
      <c r="E61" s="295">
        <f>D61*'Wskazniki emisji paliw'!N$32</f>
        <v>0</v>
      </c>
      <c r="F61" s="281"/>
      <c r="G61" s="296"/>
      <c r="H61" s="720">
        <f>'Sam-Budynki'!S60</f>
        <v>0</v>
      </c>
      <c r="I61" s="281"/>
      <c r="J61" s="281"/>
      <c r="K61" s="281"/>
      <c r="L61" s="281"/>
      <c r="M61" s="281"/>
      <c r="N61" s="281"/>
      <c r="O61" s="281"/>
      <c r="P61" s="281"/>
      <c r="Q61" s="8"/>
      <c r="R61" s="8"/>
      <c r="S61" s="8"/>
    </row>
    <row r="62" spans="1:19" s="10" customFormat="1" ht="18" customHeight="1">
      <c r="A62" s="281"/>
      <c r="B62" s="302" t="s">
        <v>440</v>
      </c>
      <c r="C62" s="303"/>
      <c r="D62" s="304">
        <f>SUM(D10:D61)</f>
        <v>17980.765802000005</v>
      </c>
      <c r="E62" s="305">
        <f>SUM(E10:E61)</f>
        <v>11624.565090992999</v>
      </c>
      <c r="F62" s="281"/>
      <c r="G62" s="281"/>
      <c r="H62" s="721"/>
      <c r="I62" s="281"/>
      <c r="J62" s="281"/>
      <c r="K62" s="281"/>
      <c r="L62" s="281"/>
      <c r="M62" s="281"/>
      <c r="N62" s="281"/>
      <c r="O62" s="281"/>
      <c r="P62" s="281"/>
      <c r="Q62" s="8"/>
      <c r="R62" s="8"/>
      <c r="S62" s="8"/>
    </row>
    <row r="63" spans="1:19" s="10" customFormat="1" ht="14.25">
      <c r="A63" s="281"/>
      <c r="B63" s="306"/>
      <c r="C63" s="306"/>
      <c r="D63" s="285"/>
      <c r="E63" s="281"/>
      <c r="F63" s="281"/>
      <c r="G63" s="281"/>
      <c r="H63" s="281"/>
      <c r="I63" s="281"/>
      <c r="J63" s="281"/>
      <c r="K63" s="281"/>
      <c r="L63" s="281"/>
      <c r="M63" s="281"/>
      <c r="N63" s="281"/>
      <c r="O63" s="281"/>
      <c r="P63" s="281"/>
      <c r="Q63" s="8"/>
      <c r="R63" s="8"/>
      <c r="S63" s="8"/>
    </row>
    <row r="64" spans="1:19" s="10" customFormat="1" ht="14.25">
      <c r="A64" s="281"/>
      <c r="B64" s="283"/>
      <c r="C64" s="283"/>
      <c r="D64" s="283"/>
      <c r="E64" s="281"/>
      <c r="F64" s="281"/>
      <c r="G64" s="281"/>
      <c r="H64" s="281"/>
      <c r="I64" s="281"/>
      <c r="J64" s="281"/>
      <c r="K64" s="281"/>
      <c r="L64" s="281"/>
      <c r="M64" s="281"/>
      <c r="N64" s="281"/>
      <c r="O64" s="281"/>
      <c r="P64" s="281"/>
      <c r="Q64" s="8"/>
      <c r="R64" s="8"/>
      <c r="S64" s="8"/>
    </row>
    <row r="65" spans="1:19" s="292" customFormat="1" ht="30.75" customHeight="1">
      <c r="A65" s="286"/>
      <c r="B65" s="958" t="s">
        <v>485</v>
      </c>
      <c r="C65" s="958"/>
      <c r="D65" s="307" t="s">
        <v>486</v>
      </c>
      <c r="E65" s="308" t="s">
        <v>491</v>
      </c>
      <c r="F65" s="281"/>
      <c r="G65" s="286"/>
      <c r="H65" s="286"/>
      <c r="I65" s="286"/>
      <c r="J65" s="286"/>
      <c r="K65" s="286"/>
      <c r="L65" s="286"/>
      <c r="M65" s="286"/>
      <c r="N65" s="286"/>
      <c r="O65" s="286"/>
      <c r="P65" s="291"/>
      <c r="Q65" s="291"/>
      <c r="R65" s="291"/>
    </row>
    <row r="66" spans="1:19" s="10" customFormat="1" ht="14.25">
      <c r="A66" s="281"/>
      <c r="B66" s="959" t="s">
        <v>488</v>
      </c>
      <c r="C66" s="959"/>
      <c r="D66" s="309"/>
      <c r="E66" s="310" t="str">
        <f>IFERROR(E62/D66,"")</f>
        <v/>
      </c>
      <c r="F66" s="281"/>
      <c r="G66" s="281"/>
      <c r="H66" s="281"/>
      <c r="I66" s="281"/>
      <c r="J66" s="281"/>
      <c r="K66" s="281"/>
      <c r="L66" s="281"/>
      <c r="M66" s="281"/>
      <c r="N66" s="281"/>
      <c r="O66" s="281"/>
      <c r="P66" s="8"/>
      <c r="Q66" s="8"/>
      <c r="R66" s="8"/>
    </row>
    <row r="67" spans="1:19" s="10" customFormat="1" ht="14.25">
      <c r="A67" s="281"/>
      <c r="B67" s="960" t="s">
        <v>489</v>
      </c>
      <c r="C67" s="960"/>
      <c r="D67" s="311">
        <v>175.98</v>
      </c>
      <c r="E67" s="312">
        <f>E62/D67</f>
        <v>66.056171672877596</v>
      </c>
      <c r="F67" s="281"/>
      <c r="G67" s="281"/>
      <c r="H67" s="281"/>
      <c r="I67" s="281"/>
      <c r="J67" s="281"/>
      <c r="K67" s="281"/>
      <c r="L67" s="281"/>
      <c r="M67" s="281"/>
      <c r="N67" s="281"/>
      <c r="O67" s="281"/>
      <c r="P67" s="8"/>
      <c r="Q67" s="8"/>
      <c r="R67" s="8"/>
    </row>
    <row r="68" spans="1:19" s="10" customFormat="1" ht="14.25">
      <c r="A68" s="281"/>
      <c r="B68" s="313"/>
      <c r="C68" s="313"/>
      <c r="D68" s="281"/>
      <c r="E68" s="314"/>
      <c r="F68" s="281"/>
      <c r="G68" s="281"/>
      <c r="H68" s="281"/>
      <c r="I68" s="281"/>
      <c r="J68" s="281"/>
      <c r="K68" s="281"/>
      <c r="L68" s="281"/>
      <c r="M68" s="281"/>
      <c r="N68" s="281"/>
      <c r="O68" s="281"/>
      <c r="P68" s="8"/>
      <c r="Q68" s="8"/>
      <c r="R68" s="8"/>
    </row>
    <row r="69" spans="1:19" s="10" customFormat="1" ht="14.25">
      <c r="A69" s="281"/>
      <c r="B69" s="281"/>
      <c r="C69" s="281"/>
      <c r="D69" s="315"/>
      <c r="E69" s="281"/>
      <c r="F69" s="281"/>
      <c r="G69" s="281"/>
      <c r="H69" s="281"/>
      <c r="I69" s="281"/>
      <c r="J69" s="281"/>
      <c r="K69" s="281"/>
      <c r="L69" s="281"/>
      <c r="M69" s="281"/>
      <c r="N69" s="281"/>
      <c r="O69" s="281"/>
      <c r="P69" s="8"/>
      <c r="Q69" s="8"/>
      <c r="R69" s="8"/>
    </row>
    <row r="70" spans="1:19" s="10" customFormat="1" ht="14.25">
      <c r="A70" s="281"/>
      <c r="B70" s="316" t="s">
        <v>490</v>
      </c>
      <c r="C70" s="281"/>
      <c r="D70" s="281"/>
      <c r="E70" s="281"/>
      <c r="F70" s="281"/>
      <c r="G70" s="281"/>
      <c r="H70" s="281"/>
      <c r="I70" s="281"/>
      <c r="J70" s="281"/>
      <c r="K70" s="281"/>
      <c r="L70" s="281"/>
      <c r="M70" s="281"/>
      <c r="N70" s="281"/>
      <c r="O70" s="281"/>
      <c r="P70" s="281"/>
      <c r="Q70" s="8"/>
      <c r="R70" s="8"/>
      <c r="S70" s="8"/>
    </row>
    <row r="71" spans="1:19" s="10" customFormat="1" ht="14.25">
      <c r="A71" s="281"/>
      <c r="B71" s="317">
        <v>1</v>
      </c>
      <c r="C71" s="956"/>
      <c r="D71" s="956"/>
      <c r="E71" s="956"/>
      <c r="F71" s="956"/>
      <c r="G71" s="956"/>
      <c r="H71" s="281"/>
      <c r="I71" s="281"/>
      <c r="J71" s="281"/>
      <c r="K71" s="281"/>
      <c r="L71" s="281"/>
      <c r="M71" s="281"/>
      <c r="N71" s="281"/>
      <c r="O71" s="281"/>
      <c r="P71" s="281"/>
      <c r="Q71" s="8"/>
      <c r="R71" s="8"/>
    </row>
    <row r="72" spans="1:19" s="10" customFormat="1" ht="14.25">
      <c r="A72" s="281"/>
      <c r="B72" s="317">
        <v>2</v>
      </c>
      <c r="C72" s="956"/>
      <c r="D72" s="956"/>
      <c r="E72" s="956"/>
      <c r="F72" s="956"/>
      <c r="G72" s="956"/>
      <c r="H72" s="281"/>
      <c r="I72" s="281"/>
      <c r="J72" s="281"/>
      <c r="K72" s="281"/>
      <c r="L72" s="281"/>
      <c r="M72" s="281"/>
      <c r="N72" s="281"/>
      <c r="O72" s="281"/>
      <c r="P72" s="281"/>
      <c r="Q72" s="8"/>
      <c r="R72" s="8"/>
    </row>
    <row r="73" spans="1:19" s="10" customFormat="1" ht="14.25">
      <c r="A73" s="281"/>
      <c r="B73" s="317">
        <v>3</v>
      </c>
      <c r="C73" s="956"/>
      <c r="D73" s="956"/>
      <c r="E73" s="956"/>
      <c r="F73" s="956"/>
      <c r="G73" s="956"/>
      <c r="H73" s="281"/>
      <c r="I73" s="281"/>
      <c r="J73" s="281"/>
      <c r="K73" s="281"/>
      <c r="L73" s="281"/>
      <c r="M73" s="281"/>
      <c r="N73" s="281"/>
      <c r="O73" s="281"/>
      <c r="P73" s="281"/>
      <c r="Q73" s="8"/>
      <c r="R73" s="8"/>
    </row>
    <row r="74" spans="1:19" s="10" customFormat="1" ht="14.25">
      <c r="A74" s="281"/>
      <c r="B74" s="281"/>
      <c r="C74" s="281"/>
      <c r="D74" s="281"/>
      <c r="E74" s="281"/>
      <c r="F74" s="281"/>
      <c r="G74" s="281"/>
      <c r="H74" s="281"/>
      <c r="I74" s="281"/>
      <c r="J74" s="281"/>
      <c r="K74" s="281"/>
      <c r="L74" s="281"/>
      <c r="M74" s="281"/>
      <c r="N74" s="281"/>
      <c r="O74" s="281"/>
      <c r="P74" s="281"/>
      <c r="Q74" s="8"/>
      <c r="R74" s="8"/>
    </row>
    <row r="75" spans="1:19">
      <c r="A75" s="279"/>
      <c r="B75" s="279"/>
      <c r="C75" s="279"/>
      <c r="D75" s="279"/>
      <c r="E75" s="279"/>
      <c r="F75" s="279"/>
      <c r="G75" s="279"/>
      <c r="H75" s="279"/>
      <c r="I75" s="279"/>
      <c r="J75" s="279"/>
      <c r="K75" s="279"/>
      <c r="L75" s="279"/>
      <c r="M75" s="279"/>
      <c r="N75" s="279"/>
      <c r="O75" s="279"/>
      <c r="P75" s="279"/>
      <c r="Q75" s="146"/>
      <c r="R75" s="146"/>
    </row>
    <row r="76" spans="1:19">
      <c r="A76" s="279"/>
      <c r="B76" s="279"/>
      <c r="C76" s="279"/>
      <c r="D76" s="279"/>
      <c r="E76" s="279"/>
      <c r="F76" s="279"/>
      <c r="G76" s="279"/>
      <c r="H76" s="279"/>
      <c r="I76" s="279"/>
      <c r="J76" s="279"/>
      <c r="K76" s="279"/>
      <c r="L76" s="279"/>
      <c r="M76" s="279"/>
      <c r="N76" s="279"/>
      <c r="O76" s="279"/>
      <c r="P76" s="279"/>
      <c r="Q76" s="146"/>
      <c r="R76" s="146"/>
    </row>
    <row r="77" spans="1:19">
      <c r="A77" s="279"/>
      <c r="B77" s="279"/>
      <c r="C77" s="279"/>
      <c r="D77" s="279"/>
      <c r="E77" s="279"/>
      <c r="F77" s="279"/>
      <c r="G77" s="279"/>
      <c r="H77" s="279"/>
      <c r="I77" s="279"/>
      <c r="J77" s="279"/>
      <c r="K77" s="279"/>
      <c r="L77" s="279"/>
      <c r="M77" s="279"/>
      <c r="N77" s="279"/>
      <c r="O77" s="279"/>
      <c r="P77" s="279"/>
      <c r="Q77" s="146"/>
      <c r="R77" s="146"/>
    </row>
    <row r="78" spans="1:19">
      <c r="A78" s="279"/>
      <c r="B78" s="279"/>
      <c r="C78" s="279"/>
      <c r="D78" s="279"/>
      <c r="E78" s="279"/>
      <c r="F78" s="279"/>
      <c r="G78" s="279"/>
      <c r="H78" s="279"/>
      <c r="I78" s="279"/>
      <c r="J78" s="279"/>
      <c r="K78" s="279"/>
      <c r="L78" s="279"/>
      <c r="M78" s="279"/>
      <c r="N78" s="279"/>
      <c r="O78" s="279"/>
      <c r="P78" s="279"/>
      <c r="Q78" s="146"/>
      <c r="R78" s="146"/>
    </row>
    <row r="79" spans="1:19">
      <c r="A79" s="279"/>
      <c r="B79" s="279"/>
      <c r="C79" s="279"/>
      <c r="D79" s="279"/>
      <c r="E79" s="279"/>
      <c r="F79" s="279"/>
      <c r="G79" s="279"/>
      <c r="H79" s="279"/>
      <c r="I79" s="279"/>
      <c r="J79" s="279"/>
      <c r="K79" s="279"/>
      <c r="L79" s="279"/>
      <c r="M79" s="279"/>
      <c r="N79" s="279"/>
      <c r="O79" s="279"/>
      <c r="P79" s="279"/>
      <c r="Q79" s="146"/>
      <c r="R79" s="146"/>
    </row>
    <row r="80" spans="1:19">
      <c r="A80" s="279"/>
      <c r="B80" s="279"/>
      <c r="C80" s="279"/>
      <c r="D80" s="279"/>
      <c r="E80" s="279"/>
      <c r="F80" s="279"/>
      <c r="G80" s="279"/>
      <c r="H80" s="279"/>
      <c r="I80" s="279"/>
      <c r="J80" s="279"/>
      <c r="K80" s="279"/>
      <c r="L80" s="279"/>
      <c r="M80" s="279"/>
      <c r="N80" s="279"/>
      <c r="O80" s="279"/>
      <c r="P80" s="279"/>
      <c r="Q80" s="146"/>
      <c r="R80" s="146"/>
    </row>
    <row r="81" spans="1:18">
      <c r="A81" s="279"/>
      <c r="B81" s="279"/>
      <c r="C81" s="279"/>
      <c r="D81" s="279"/>
      <c r="E81" s="279"/>
      <c r="F81" s="279"/>
      <c r="G81" s="279"/>
      <c r="H81" s="279"/>
      <c r="I81" s="279"/>
      <c r="J81" s="279"/>
      <c r="K81" s="279"/>
      <c r="L81" s="279"/>
      <c r="M81" s="279"/>
      <c r="N81" s="279"/>
      <c r="O81" s="279"/>
      <c r="P81" s="279"/>
      <c r="Q81" s="146"/>
      <c r="R81" s="146"/>
    </row>
    <row r="82" spans="1:18">
      <c r="A82" s="279"/>
      <c r="B82" s="279"/>
      <c r="C82" s="279"/>
      <c r="D82" s="279"/>
      <c r="E82" s="279"/>
      <c r="F82" s="279"/>
      <c r="G82" s="279"/>
      <c r="H82" s="279"/>
      <c r="I82" s="279"/>
      <c r="J82" s="279"/>
      <c r="K82" s="279"/>
      <c r="L82" s="279"/>
      <c r="M82" s="279"/>
      <c r="N82" s="279"/>
      <c r="O82" s="279"/>
      <c r="P82" s="279"/>
      <c r="Q82" s="146"/>
      <c r="R82" s="146"/>
    </row>
    <row r="83" spans="1:18">
      <c r="A83" s="279"/>
      <c r="B83" s="279"/>
      <c r="C83" s="279"/>
      <c r="D83" s="279"/>
      <c r="E83" s="279"/>
      <c r="F83" s="279"/>
      <c r="G83" s="279"/>
      <c r="H83" s="279"/>
      <c r="I83" s="279"/>
      <c r="J83" s="279"/>
      <c r="K83" s="279"/>
      <c r="L83" s="279"/>
      <c r="M83" s="279"/>
      <c r="N83" s="279"/>
      <c r="O83" s="279"/>
      <c r="P83" s="279"/>
      <c r="Q83" s="146"/>
      <c r="R83" s="146"/>
    </row>
    <row r="84" spans="1:18">
      <c r="A84" s="279"/>
      <c r="B84" s="279"/>
      <c r="C84" s="279"/>
      <c r="D84" s="279"/>
      <c r="E84" s="279"/>
      <c r="F84" s="279"/>
      <c r="G84" s="279"/>
      <c r="H84" s="279"/>
      <c r="I84" s="279"/>
      <c r="J84" s="279"/>
      <c r="K84" s="279"/>
      <c r="L84" s="279"/>
      <c r="M84" s="279"/>
      <c r="N84" s="279"/>
      <c r="O84" s="279"/>
      <c r="P84" s="279"/>
      <c r="Q84" s="146"/>
      <c r="R84" s="146"/>
    </row>
    <row r="85" spans="1:18">
      <c r="A85" s="146"/>
      <c r="B85" s="146"/>
      <c r="C85" s="146"/>
      <c r="D85" s="146"/>
      <c r="E85" s="146"/>
      <c r="F85" s="146"/>
      <c r="G85" s="146"/>
      <c r="H85" s="146"/>
      <c r="I85" s="146"/>
      <c r="J85" s="146"/>
      <c r="K85" s="146"/>
      <c r="L85" s="146"/>
      <c r="M85" s="146"/>
      <c r="N85" s="146"/>
      <c r="O85" s="146"/>
      <c r="P85" s="146"/>
      <c r="Q85" s="146"/>
      <c r="R85" s="146"/>
    </row>
    <row r="86" spans="1:18">
      <c r="A86" s="146"/>
      <c r="B86" s="146"/>
      <c r="C86" s="146"/>
      <c r="D86" s="146"/>
      <c r="E86" s="146"/>
      <c r="F86" s="146"/>
      <c r="G86" s="146"/>
      <c r="H86" s="146"/>
      <c r="I86" s="146"/>
      <c r="J86" s="146"/>
      <c r="K86" s="146"/>
      <c r="L86" s="146"/>
      <c r="M86" s="146"/>
      <c r="N86" s="146"/>
      <c r="O86" s="146"/>
      <c r="P86" s="146"/>
    </row>
    <row r="87" spans="1:18">
      <c r="A87" s="146"/>
      <c r="B87" s="146"/>
      <c r="C87" s="146"/>
      <c r="D87" s="146"/>
      <c r="E87" s="146"/>
      <c r="F87" s="146"/>
      <c r="G87" s="146"/>
      <c r="H87" s="146"/>
      <c r="I87" s="146"/>
      <c r="J87" s="146"/>
      <c r="K87" s="146"/>
      <c r="L87" s="146"/>
      <c r="M87" s="146"/>
      <c r="N87" s="146"/>
      <c r="O87" s="146"/>
      <c r="P87" s="146"/>
    </row>
    <row r="88" spans="1:18">
      <c r="A88" s="146"/>
      <c r="B88" s="146"/>
      <c r="C88" s="146"/>
      <c r="D88" s="146"/>
      <c r="E88" s="146"/>
      <c r="F88" s="146"/>
      <c r="G88" s="146"/>
      <c r="H88" s="146"/>
      <c r="I88" s="146"/>
      <c r="J88" s="146"/>
      <c r="K88" s="146"/>
      <c r="L88" s="146"/>
      <c r="M88" s="146"/>
      <c r="N88" s="146"/>
      <c r="O88" s="146"/>
      <c r="P88" s="146"/>
    </row>
    <row r="89" spans="1:18">
      <c r="A89" s="146"/>
      <c r="B89" s="146"/>
      <c r="C89" s="146"/>
      <c r="D89" s="146"/>
      <c r="E89" s="146"/>
      <c r="F89" s="146"/>
      <c r="G89" s="146"/>
      <c r="H89" s="146"/>
      <c r="I89" s="146"/>
      <c r="J89" s="146"/>
      <c r="K89" s="146"/>
      <c r="L89" s="146"/>
      <c r="M89" s="146"/>
      <c r="N89" s="146"/>
      <c r="O89" s="146"/>
      <c r="P89" s="146"/>
    </row>
    <row r="90" spans="1:18">
      <c r="A90" s="146"/>
      <c r="B90" s="146"/>
      <c r="C90" s="146"/>
      <c r="D90" s="146"/>
      <c r="E90" s="146"/>
      <c r="F90" s="146"/>
      <c r="G90" s="146"/>
      <c r="H90" s="146"/>
      <c r="I90" s="146"/>
      <c r="J90" s="146"/>
      <c r="K90" s="146"/>
      <c r="L90" s="146"/>
      <c r="M90" s="146"/>
      <c r="N90" s="146"/>
      <c r="O90" s="146"/>
      <c r="P90" s="146"/>
    </row>
  </sheetData>
  <mergeCells count="9">
    <mergeCell ref="C73:G73"/>
    <mergeCell ref="B66:C66"/>
    <mergeCell ref="B67:C67"/>
    <mergeCell ref="C71:G71"/>
    <mergeCell ref="C72:G72"/>
    <mergeCell ref="C1:F1"/>
    <mergeCell ref="B3:G3"/>
    <mergeCell ref="C6:G6"/>
    <mergeCell ref="B65:C65"/>
  </mergeCells>
  <phoneticPr fontId="37" type="noConversion"/>
  <pageMargins left="0.74791666666666667" right="0.74791666666666667" top="0.98402777777777772" bottom="0.98402777777777772" header="0.51180555555555551" footer="0.51180555555555551"/>
  <pageSetup firstPageNumber="0" orientation="landscape" horizontalDpi="300" verticalDpi="300"/>
  <headerFooter alignWithMargins="0"/>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AA72"/>
  <sheetViews>
    <sheetView topLeftCell="A13" workbookViewId="0">
      <selection activeCell="AA26" sqref="AA26"/>
    </sheetView>
  </sheetViews>
  <sheetFormatPr defaultRowHeight="12.75"/>
  <cols>
    <col min="1" max="1" width="4.1640625" customWidth="1"/>
    <col min="2" max="2" width="43.83203125" customWidth="1"/>
    <col min="3" max="3" width="14.6640625" style="136" customWidth="1"/>
    <col min="4" max="4" width="17.33203125" style="136" customWidth="1"/>
    <col min="5" max="5" width="13.1640625" style="136" customWidth="1"/>
    <col min="6" max="6" width="16.83203125" customWidth="1"/>
    <col min="7" max="7" width="4.33203125" customWidth="1"/>
    <col min="8" max="8" width="6.33203125" customWidth="1"/>
    <col min="9" max="9" width="11.6640625" customWidth="1"/>
  </cols>
  <sheetData>
    <row r="1" spans="1:25" s="318" customFormat="1" ht="19.5">
      <c r="C1" s="319" t="s">
        <v>443</v>
      </c>
      <c r="D1" s="320" t="str">
        <f>name</f>
        <v>Bydgoszcz</v>
      </c>
      <c r="E1" s="321"/>
      <c r="G1" s="322"/>
      <c r="H1" s="322"/>
      <c r="I1" s="322"/>
      <c r="J1" s="322"/>
      <c r="K1" s="322"/>
      <c r="L1" s="322"/>
      <c r="M1" s="322"/>
      <c r="N1" s="322"/>
      <c r="O1" s="322"/>
      <c r="P1" s="322"/>
      <c r="Q1" s="322"/>
      <c r="R1" s="322"/>
      <c r="S1" s="322"/>
      <c r="T1" s="322"/>
      <c r="U1" s="322"/>
      <c r="V1" s="323"/>
      <c r="W1" s="323"/>
      <c r="X1" s="322"/>
      <c r="Y1" s="322"/>
    </row>
    <row r="2" spans="1:25">
      <c r="A2" s="146"/>
      <c r="B2" s="146"/>
      <c r="C2" s="145"/>
      <c r="D2" s="145"/>
      <c r="E2" s="145"/>
      <c r="F2" s="146"/>
      <c r="G2" s="146"/>
      <c r="H2" s="146"/>
      <c r="I2" s="146"/>
      <c r="J2" s="146"/>
      <c r="K2" s="146"/>
      <c r="L2" s="146"/>
      <c r="M2" s="146"/>
      <c r="N2" s="146"/>
      <c r="O2" s="146"/>
      <c r="P2" s="146"/>
      <c r="Q2" s="146"/>
      <c r="R2" s="146"/>
      <c r="S2" s="146"/>
      <c r="T2" s="146"/>
      <c r="U2" s="146"/>
      <c r="V2" s="145"/>
      <c r="W2" s="145"/>
      <c r="X2" s="146"/>
      <c r="Y2" s="146"/>
    </row>
    <row r="3" spans="1:25" ht="26.25">
      <c r="A3" s="146"/>
      <c r="B3" s="934" t="s">
        <v>492</v>
      </c>
      <c r="C3" s="934"/>
      <c r="D3" s="934"/>
      <c r="E3" s="934"/>
      <c r="F3" s="934"/>
      <c r="G3" s="146"/>
      <c r="H3" s="146"/>
      <c r="I3" s="146"/>
      <c r="J3" s="146"/>
      <c r="K3" s="146"/>
      <c r="L3" s="146"/>
      <c r="M3" s="146"/>
      <c r="N3" s="146"/>
      <c r="O3" s="146"/>
      <c r="P3" s="146"/>
      <c r="Q3" s="146"/>
      <c r="R3" s="146"/>
      <c r="S3" s="146"/>
      <c r="T3" s="146"/>
      <c r="U3" s="146"/>
      <c r="V3" s="145"/>
      <c r="W3" s="145"/>
      <c r="X3" s="146"/>
      <c r="Y3" s="146"/>
    </row>
    <row r="4" spans="1:25" ht="20.100000000000001" customHeight="1">
      <c r="A4" s="146"/>
      <c r="B4" s="146"/>
      <c r="C4" s="149" t="s">
        <v>395</v>
      </c>
      <c r="D4" s="324">
        <f>corpyear</f>
        <v>2005</v>
      </c>
      <c r="F4" s="146"/>
      <c r="G4" s="146"/>
      <c r="H4" s="146"/>
      <c r="I4" s="146"/>
      <c r="J4" s="146"/>
      <c r="K4" s="146"/>
      <c r="L4" s="146"/>
      <c r="M4" s="146"/>
      <c r="N4" s="146"/>
      <c r="O4" s="146"/>
      <c r="P4" s="146"/>
      <c r="Q4" s="146"/>
      <c r="R4" s="146"/>
      <c r="S4" s="146"/>
      <c r="T4" s="146"/>
      <c r="U4" s="146"/>
      <c r="V4" s="145"/>
      <c r="W4" s="145"/>
      <c r="X4" s="146"/>
      <c r="Y4" s="146"/>
    </row>
    <row r="5" spans="1:25">
      <c r="A5" s="146"/>
      <c r="B5" s="146"/>
      <c r="C5" s="145"/>
      <c r="D5" s="145"/>
      <c r="E5" s="145"/>
      <c r="F5" s="146"/>
      <c r="G5" s="146"/>
      <c r="H5" s="146"/>
      <c r="I5" s="146"/>
      <c r="J5" s="146"/>
      <c r="K5" s="146"/>
      <c r="L5" s="146"/>
      <c r="M5" s="146"/>
      <c r="N5" s="146"/>
      <c r="O5" s="146"/>
      <c r="P5" s="146"/>
      <c r="Q5" s="146"/>
      <c r="R5" s="146"/>
      <c r="S5" s="146"/>
      <c r="T5" s="146"/>
      <c r="U5" s="146"/>
      <c r="V5" s="145"/>
      <c r="W5" s="145"/>
      <c r="X5" s="146"/>
      <c r="Y5" s="146"/>
    </row>
    <row r="6" spans="1:25">
      <c r="A6" s="146"/>
      <c r="B6" s="146"/>
      <c r="C6" s="145"/>
      <c r="D6" s="145"/>
      <c r="E6" s="805"/>
      <c r="F6" s="146"/>
      <c r="G6" s="146"/>
      <c r="H6" s="146"/>
      <c r="I6" s="146"/>
      <c r="J6" s="146"/>
      <c r="K6" s="146"/>
      <c r="L6" s="146"/>
      <c r="M6" s="146"/>
      <c r="N6" s="146"/>
      <c r="O6" s="146"/>
      <c r="P6" s="146"/>
      <c r="Q6" s="146"/>
      <c r="R6" s="146"/>
      <c r="S6" s="146"/>
      <c r="T6" s="146"/>
      <c r="U6" s="146"/>
      <c r="V6" s="145"/>
      <c r="W6" s="145"/>
      <c r="X6" s="146"/>
      <c r="Y6" s="146"/>
    </row>
    <row r="7" spans="1:25">
      <c r="A7" s="146"/>
      <c r="B7" s="146"/>
      <c r="C7" s="145"/>
      <c r="D7" s="145"/>
      <c r="E7" s="806"/>
      <c r="F7" s="146"/>
      <c r="G7" s="146"/>
      <c r="H7" s="146"/>
      <c r="I7" s="146"/>
      <c r="J7" s="146"/>
      <c r="K7" s="146"/>
      <c r="L7" s="146"/>
      <c r="M7" s="146"/>
      <c r="N7" s="146"/>
      <c r="O7" s="146"/>
      <c r="P7" s="146"/>
      <c r="Q7" s="146"/>
      <c r="R7" s="146"/>
      <c r="S7" s="146"/>
      <c r="T7" s="146"/>
      <c r="U7" s="146"/>
      <c r="V7" s="145"/>
      <c r="W7" s="145"/>
      <c r="X7" s="146"/>
      <c r="Y7" s="146"/>
    </row>
    <row r="8" spans="1:25">
      <c r="A8" s="146"/>
      <c r="B8" s="325" t="s">
        <v>508</v>
      </c>
      <c r="C8" s="145"/>
      <c r="D8" s="145"/>
      <c r="E8" s="806"/>
      <c r="F8" s="146"/>
      <c r="G8" s="146"/>
      <c r="H8" s="146"/>
      <c r="I8" s="146"/>
      <c r="J8" s="146"/>
      <c r="K8" s="146"/>
      <c r="L8" s="146"/>
      <c r="M8" s="146"/>
      <c r="N8" s="146"/>
      <c r="O8" s="146"/>
      <c r="P8" s="146"/>
      <c r="Q8" s="146"/>
      <c r="R8" s="146"/>
      <c r="S8" s="146"/>
      <c r="T8" s="146"/>
      <c r="U8" s="146"/>
      <c r="V8" s="145"/>
      <c r="W8" s="145"/>
      <c r="X8" s="146"/>
      <c r="Y8" s="146"/>
    </row>
    <row r="9" spans="1:25" s="330" customFormat="1">
      <c r="A9" s="326"/>
      <c r="B9" s="327" t="s">
        <v>496</v>
      </c>
      <c r="C9" s="328" t="s">
        <v>410</v>
      </c>
      <c r="D9" s="329" t="s">
        <v>493</v>
      </c>
      <c r="E9" s="807"/>
      <c r="F9" s="326"/>
      <c r="G9" s="326"/>
      <c r="H9" s="326"/>
      <c r="I9" s="326"/>
      <c r="J9" s="326"/>
      <c r="K9" s="326"/>
      <c r="L9" s="326"/>
      <c r="M9" s="326"/>
      <c r="N9" s="326"/>
      <c r="O9" s="326"/>
      <c r="P9" s="326"/>
      <c r="Q9" s="326"/>
      <c r="R9" s="326"/>
      <c r="S9" s="326"/>
      <c r="T9" s="326"/>
      <c r="U9" s="326"/>
      <c r="V9" s="145"/>
      <c r="W9" s="145"/>
      <c r="X9" s="146"/>
      <c r="Y9" s="146"/>
    </row>
    <row r="10" spans="1:25">
      <c r="A10" s="146"/>
      <c r="B10" s="331" t="s">
        <v>500</v>
      </c>
      <c r="C10" s="332">
        <f>buildingcost</f>
        <v>29268944.94933201</v>
      </c>
      <c r="D10" s="333">
        <f>'Sam-Budynki'!AR61</f>
        <v>71446.764806585954</v>
      </c>
      <c r="E10" s="806"/>
      <c r="F10" s="146"/>
      <c r="G10" s="146"/>
      <c r="H10" s="146"/>
      <c r="I10" s="146"/>
      <c r="J10" s="146"/>
      <c r="K10" s="146"/>
      <c r="L10" s="146"/>
      <c r="M10" s="146"/>
      <c r="N10" s="146"/>
      <c r="O10" s="146"/>
      <c r="P10" s="146"/>
      <c r="Q10" s="146"/>
      <c r="R10" s="146"/>
      <c r="S10" s="146"/>
      <c r="T10" s="146"/>
      <c r="U10" s="146"/>
      <c r="V10" s="145"/>
      <c r="W10" s="145"/>
      <c r="X10" s="146"/>
      <c r="Y10" s="146"/>
    </row>
    <row r="11" spans="1:25">
      <c r="A11" s="146"/>
      <c r="B11" s="334" t="s">
        <v>501</v>
      </c>
      <c r="C11" s="335">
        <f>'Sam-Pojazdy'!AG70</f>
        <v>32167053.57035524</v>
      </c>
      <c r="D11" s="336">
        <f>vehiclefleeteco2</f>
        <v>37964.630553384341</v>
      </c>
      <c r="E11" s="806"/>
      <c r="F11" s="146"/>
      <c r="G11" s="146"/>
      <c r="H11" s="146"/>
      <c r="I11" s="146"/>
      <c r="J11" s="146"/>
      <c r="K11" s="146"/>
      <c r="L11" s="146"/>
      <c r="M11" s="146"/>
      <c r="N11" s="146"/>
      <c r="O11" s="146"/>
      <c r="P11" s="146"/>
      <c r="Q11" s="146"/>
      <c r="R11" s="146"/>
      <c r="S11" s="146"/>
      <c r="T11" s="146"/>
      <c r="U11" s="146"/>
      <c r="V11" s="145"/>
      <c r="W11" s="145"/>
      <c r="X11" s="146"/>
      <c r="Y11" s="146"/>
    </row>
    <row r="12" spans="1:25">
      <c r="A12" s="146"/>
      <c r="B12" s="334" t="s">
        <v>502</v>
      </c>
      <c r="C12" s="335">
        <f>'Sam-Oswietlenie'!E18</f>
        <v>6813150.4100000001</v>
      </c>
      <c r="D12" s="336">
        <f>'Sam-Oswietlenie'!F18</f>
        <v>21237.288794</v>
      </c>
      <c r="E12" s="806"/>
      <c r="F12" s="146"/>
      <c r="G12" s="146"/>
      <c r="H12" s="146"/>
      <c r="I12" s="146"/>
      <c r="J12" s="146"/>
      <c r="K12" s="146"/>
      <c r="L12" s="146"/>
      <c r="M12" s="146"/>
      <c r="N12" s="146"/>
      <c r="O12" s="146"/>
      <c r="P12" s="146"/>
      <c r="Q12" s="146"/>
      <c r="R12" s="146"/>
      <c r="S12" s="146"/>
      <c r="T12" s="146"/>
      <c r="U12" s="146"/>
      <c r="V12" s="145"/>
      <c r="W12" s="145"/>
      <c r="X12" s="146"/>
      <c r="Y12" s="146"/>
    </row>
    <row r="13" spans="1:25">
      <c r="A13" s="146"/>
      <c r="B13" s="334" t="s">
        <v>503</v>
      </c>
      <c r="C13" s="335">
        <f>'Sam-Woda&amp;Scieki'!AO18</f>
        <v>7210869.8150000004</v>
      </c>
      <c r="D13" s="336">
        <f>'Sam-Woda&amp;Scieki'!AP18</f>
        <v>26141.070322805528</v>
      </c>
      <c r="E13" s="806"/>
      <c r="F13" s="146"/>
      <c r="G13" s="146"/>
      <c r="H13" s="146"/>
      <c r="I13" s="146"/>
      <c r="J13" s="146"/>
      <c r="K13" s="146"/>
      <c r="L13" s="146"/>
      <c r="M13" s="146"/>
      <c r="N13" s="146"/>
      <c r="O13" s="146"/>
      <c r="P13" s="146"/>
      <c r="Q13" s="146"/>
      <c r="R13" s="146"/>
      <c r="S13" s="146"/>
      <c r="T13" s="146"/>
      <c r="U13" s="146"/>
      <c r="V13" s="145"/>
      <c r="W13" s="145"/>
      <c r="X13" s="146"/>
      <c r="Y13" s="146"/>
    </row>
    <row r="14" spans="1:25">
      <c r="A14" s="146"/>
      <c r="B14" s="334" t="s">
        <v>504</v>
      </c>
      <c r="C14" s="337"/>
      <c r="D14" s="336">
        <f>'Sam-Odpady'!E62</f>
        <v>11624.565090992999</v>
      </c>
      <c r="E14" s="806"/>
      <c r="F14" s="146"/>
      <c r="G14" s="146"/>
      <c r="H14" s="146"/>
      <c r="I14" s="146"/>
      <c r="J14" s="146"/>
      <c r="K14" s="146"/>
      <c r="L14" s="146"/>
      <c r="M14" s="146"/>
      <c r="N14" s="146"/>
      <c r="O14" s="146"/>
      <c r="P14" s="146"/>
      <c r="Q14" s="146"/>
      <c r="R14" s="146"/>
      <c r="S14" s="146"/>
      <c r="T14" s="146"/>
      <c r="U14" s="146"/>
      <c r="V14" s="145"/>
      <c r="W14" s="145"/>
      <c r="X14" s="146"/>
      <c r="Y14" s="146"/>
    </row>
    <row r="15" spans="1:25">
      <c r="A15" s="146"/>
      <c r="B15" s="338" t="s">
        <v>505</v>
      </c>
      <c r="C15" s="339">
        <f>'Lokalna produkcja energii'!R23</f>
        <v>0</v>
      </c>
      <c r="D15" s="340">
        <f>'Lokalna produkcja energii'!P23</f>
        <v>4606.5761918784656</v>
      </c>
      <c r="E15" s="806"/>
      <c r="F15" s="146"/>
      <c r="G15" s="146"/>
      <c r="H15" s="146"/>
      <c r="I15" s="146"/>
      <c r="J15" s="146"/>
      <c r="K15" s="146"/>
      <c r="L15" s="146"/>
      <c r="M15" s="146"/>
      <c r="N15" s="146"/>
      <c r="O15" s="146"/>
      <c r="P15" s="146"/>
      <c r="Q15" s="146"/>
      <c r="R15" s="146"/>
      <c r="S15" s="146"/>
      <c r="T15" s="146"/>
      <c r="U15" s="146"/>
      <c r="V15" s="145"/>
      <c r="W15" s="145"/>
      <c r="X15" s="146"/>
      <c r="Y15" s="146"/>
    </row>
    <row r="16" spans="1:25">
      <c r="A16" s="146"/>
      <c r="B16" s="341" t="s">
        <v>506</v>
      </c>
      <c r="C16" s="342">
        <f>'Lokalna produkcja energii'!R40</f>
        <v>0</v>
      </c>
      <c r="D16" s="343">
        <f>'Lokalna produkcja energii'!P40</f>
        <v>33732.818898114492</v>
      </c>
      <c r="E16" s="806"/>
      <c r="F16" s="146"/>
      <c r="G16" s="146"/>
      <c r="H16" s="146"/>
      <c r="I16" s="146"/>
      <c r="J16" s="146"/>
      <c r="K16" s="146"/>
      <c r="L16" s="146"/>
      <c r="M16" s="146"/>
      <c r="N16" s="146"/>
      <c r="O16" s="146"/>
      <c r="P16" s="146"/>
      <c r="Q16" s="146"/>
      <c r="R16" s="146"/>
      <c r="S16" s="146"/>
      <c r="T16" s="146"/>
      <c r="U16" s="146"/>
      <c r="V16" s="145"/>
      <c r="W16" s="145"/>
      <c r="X16" s="146"/>
      <c r="Y16" s="146"/>
    </row>
    <row r="17" spans="1:27">
      <c r="A17" s="146"/>
      <c r="B17" s="344" t="s">
        <v>507</v>
      </c>
      <c r="C17" s="345">
        <f>SUM(C10:C16)</f>
        <v>75460018.744687244</v>
      </c>
      <c r="D17" s="346">
        <f>SUM(D10:D16)</f>
        <v>206753.7146577618</v>
      </c>
      <c r="E17" s="806"/>
      <c r="F17" s="146"/>
      <c r="G17" s="146"/>
      <c r="H17" s="146"/>
      <c r="I17" s="146"/>
      <c r="J17" s="146"/>
      <c r="K17" s="146"/>
      <c r="L17" s="146"/>
      <c r="M17" s="146"/>
      <c r="N17" s="146"/>
      <c r="O17" s="146"/>
      <c r="P17" s="146"/>
      <c r="Q17" s="146"/>
      <c r="R17" s="146"/>
      <c r="S17" s="146"/>
      <c r="T17" s="146"/>
      <c r="U17" s="146"/>
      <c r="V17" s="145"/>
      <c r="W17" s="145"/>
      <c r="X17" s="146"/>
      <c r="Y17" s="146"/>
    </row>
    <row r="18" spans="1:27">
      <c r="A18" s="146"/>
      <c r="B18" s="146"/>
      <c r="C18" s="145"/>
      <c r="D18" s="145"/>
      <c r="E18" s="145"/>
      <c r="F18" s="146"/>
      <c r="G18" s="146"/>
      <c r="H18" s="146"/>
      <c r="I18" s="146"/>
      <c r="J18" s="146"/>
      <c r="K18" s="146"/>
      <c r="L18" s="146"/>
      <c r="M18" s="146"/>
      <c r="N18" s="146"/>
      <c r="O18" s="146"/>
      <c r="P18" s="146"/>
      <c r="Q18" s="146"/>
      <c r="R18" s="146"/>
      <c r="S18" s="146"/>
      <c r="T18" s="146"/>
      <c r="U18" s="146"/>
      <c r="V18" s="145"/>
      <c r="W18" s="145"/>
      <c r="X18" s="146"/>
      <c r="Y18" s="146"/>
    </row>
    <row r="19" spans="1:27">
      <c r="A19" s="146"/>
      <c r="B19" s="146"/>
      <c r="C19" s="145"/>
      <c r="D19" s="145"/>
      <c r="E19" s="145"/>
      <c r="F19" s="146"/>
      <c r="G19" s="146"/>
      <c r="H19" s="146"/>
      <c r="I19" s="146"/>
      <c r="J19" s="146"/>
      <c r="K19" s="146"/>
      <c r="L19" s="146"/>
      <c r="M19" s="146"/>
      <c r="N19" s="146"/>
      <c r="O19" s="146"/>
      <c r="P19" s="146"/>
      <c r="Q19" s="146"/>
      <c r="R19" s="146"/>
      <c r="S19" s="146"/>
      <c r="T19" s="146"/>
      <c r="U19" s="146"/>
      <c r="V19" s="145"/>
      <c r="W19" s="145"/>
      <c r="X19" s="146"/>
      <c r="Y19" s="146"/>
    </row>
    <row r="20" spans="1:27">
      <c r="A20" s="146"/>
      <c r="B20" s="146" t="s">
        <v>520</v>
      </c>
      <c r="C20" s="145"/>
      <c r="D20" s="145"/>
      <c r="E20" s="145"/>
      <c r="F20" s="146"/>
      <c r="G20" s="146"/>
      <c r="H20" s="146"/>
      <c r="I20" s="146"/>
      <c r="J20" s="146"/>
      <c r="K20" s="146"/>
      <c r="L20" s="146"/>
      <c r="M20" s="146"/>
      <c r="N20" s="146"/>
      <c r="O20" s="146"/>
      <c r="P20" s="146"/>
      <c r="Q20" s="146"/>
      <c r="R20" s="146"/>
      <c r="S20" s="146"/>
      <c r="T20" s="146"/>
      <c r="U20" s="146"/>
      <c r="V20" s="145"/>
      <c r="W20" s="145"/>
      <c r="X20" s="146"/>
      <c r="Y20" s="146"/>
    </row>
    <row r="21" spans="1:27">
      <c r="A21" s="146"/>
      <c r="B21" s="836" t="s">
        <v>522</v>
      </c>
      <c r="C21" s="145"/>
      <c r="D21" s="145"/>
      <c r="E21" s="145"/>
      <c r="F21" s="146"/>
      <c r="G21" s="146"/>
      <c r="H21" s="146"/>
      <c r="I21" s="146"/>
      <c r="J21" s="146"/>
      <c r="K21" s="146"/>
      <c r="L21" s="146"/>
      <c r="M21" s="146"/>
      <c r="N21" s="146"/>
      <c r="O21" s="146"/>
      <c r="P21" s="146"/>
      <c r="Q21" s="146"/>
      <c r="R21" s="146"/>
      <c r="S21" s="146"/>
      <c r="T21" s="146"/>
      <c r="U21" s="146"/>
      <c r="V21" s="145"/>
      <c r="W21" s="145"/>
      <c r="X21" s="146"/>
      <c r="Y21" s="146"/>
    </row>
    <row r="22" spans="1:27">
      <c r="A22" s="146"/>
      <c r="B22" s="146" t="s">
        <v>521</v>
      </c>
      <c r="C22" s="145"/>
      <c r="D22" s="145"/>
      <c r="E22" s="145"/>
      <c r="F22" s="146"/>
      <c r="G22" s="146"/>
      <c r="H22" s="146"/>
      <c r="I22" s="146"/>
      <c r="J22" s="146"/>
      <c r="K22" s="146"/>
      <c r="L22" s="146"/>
      <c r="M22" s="146"/>
      <c r="N22" s="146"/>
      <c r="O22" s="146"/>
      <c r="P22" s="146"/>
      <c r="Q22" s="146"/>
      <c r="R22" s="146"/>
      <c r="S22" s="146"/>
      <c r="T22" s="146"/>
      <c r="U22" s="146"/>
      <c r="V22" s="145"/>
      <c r="W22" s="145"/>
      <c r="X22" s="145"/>
      <c r="Y22" s="145"/>
      <c r="Z22" s="146"/>
      <c r="AA22" s="146"/>
    </row>
    <row r="23" spans="1:27">
      <c r="A23" s="146"/>
      <c r="B23" s="146"/>
      <c r="C23" s="145"/>
      <c r="D23" s="145"/>
      <c r="E23" s="145"/>
      <c r="F23" s="146"/>
      <c r="G23" s="146"/>
      <c r="H23" s="146"/>
      <c r="I23" s="146"/>
      <c r="J23" s="146"/>
      <c r="K23" s="146"/>
      <c r="L23" s="146"/>
      <c r="M23" s="146"/>
      <c r="N23" s="146"/>
      <c r="O23" s="146"/>
      <c r="P23" s="146"/>
      <c r="Q23" s="146"/>
      <c r="R23" s="146"/>
      <c r="S23" s="146"/>
      <c r="T23" s="146"/>
      <c r="U23" s="146"/>
      <c r="V23" s="145"/>
      <c r="W23" s="145"/>
      <c r="X23" s="145"/>
      <c r="Y23" s="145"/>
      <c r="Z23" s="146"/>
      <c r="AA23" s="146"/>
    </row>
    <row r="24" spans="1:27">
      <c r="A24" s="146"/>
      <c r="B24" s="146"/>
      <c r="C24" s="145"/>
      <c r="D24" s="145"/>
      <c r="E24" s="145"/>
      <c r="F24" s="146"/>
      <c r="G24" s="146"/>
      <c r="H24" s="146"/>
      <c r="I24" s="146"/>
      <c r="J24" s="146"/>
      <c r="K24" s="146"/>
      <c r="L24" s="146"/>
      <c r="M24" s="146"/>
      <c r="N24" s="146"/>
      <c r="O24" s="146"/>
      <c r="P24" s="146"/>
      <c r="Q24" s="146"/>
      <c r="R24" s="146"/>
      <c r="S24" s="146"/>
      <c r="T24" s="146"/>
      <c r="U24" s="146"/>
      <c r="V24" s="145"/>
      <c r="W24" s="145"/>
      <c r="X24" s="145"/>
      <c r="Y24" s="145"/>
      <c r="Z24" s="146"/>
      <c r="AA24" s="146"/>
    </row>
    <row r="25" spans="1:27">
      <c r="A25" s="146"/>
      <c r="B25" s="325" t="s">
        <v>509</v>
      </c>
      <c r="C25" s="145"/>
      <c r="D25" s="145"/>
      <c r="E25" s="145"/>
      <c r="F25" s="146"/>
      <c r="G25" s="146"/>
      <c r="H25" s="146"/>
      <c r="I25" s="146"/>
      <c r="J25" s="146"/>
      <c r="K25" s="146"/>
      <c r="L25" s="146"/>
      <c r="M25" s="146"/>
      <c r="N25" s="146"/>
      <c r="O25" s="146"/>
      <c r="P25" s="146"/>
      <c r="Q25" s="146"/>
      <c r="R25" s="146"/>
      <c r="S25" s="146"/>
      <c r="T25" s="146"/>
      <c r="U25" s="146"/>
      <c r="V25" s="146"/>
      <c r="W25" s="146"/>
      <c r="X25" s="145"/>
      <c r="Y25" s="145"/>
      <c r="Z25" s="146"/>
      <c r="AA25" s="146"/>
    </row>
    <row r="26" spans="1:27" s="330" customFormat="1" ht="38.25">
      <c r="A26" s="326"/>
      <c r="B26" s="835" t="s">
        <v>512</v>
      </c>
      <c r="C26" s="834" t="s">
        <v>510</v>
      </c>
      <c r="D26" s="347" t="s">
        <v>511</v>
      </c>
      <c r="E26" s="348" t="s">
        <v>410</v>
      </c>
      <c r="F26" s="349" t="s">
        <v>411</v>
      </c>
      <c r="G26" s="326"/>
      <c r="H26" s="326"/>
      <c r="I26" s="326"/>
      <c r="J26" s="326"/>
      <c r="K26" s="326"/>
      <c r="L26" s="326"/>
      <c r="M26" s="326"/>
      <c r="N26" s="326"/>
      <c r="O26" s="326"/>
      <c r="P26" s="326"/>
      <c r="Q26" s="326"/>
      <c r="R26" s="326"/>
      <c r="S26" s="326"/>
      <c r="T26" s="326"/>
      <c r="U26" s="326"/>
      <c r="V26" s="326"/>
      <c r="W26" s="326"/>
      <c r="X26" s="145"/>
      <c r="Y26" s="145"/>
      <c r="Z26" s="146"/>
      <c r="AA26" s="146"/>
    </row>
    <row r="27" spans="1:27">
      <c r="A27" s="146"/>
      <c r="B27" s="828" t="s">
        <v>349</v>
      </c>
      <c r="C27" s="350">
        <f>'Sam-Budynki'!D61+'Sam-Pojazdy'!Y70+'Sam-Oswietlenie'!D18+'Sam-Woda&amp;Scieki'!D18</f>
        <v>90261329.116999999</v>
      </c>
      <c r="D27" s="351" t="s">
        <v>44</v>
      </c>
      <c r="E27" s="352">
        <f>'Sam-Budynki'!E61+'Sam-Pojazdy'!Z70+'Sam-Oswietlenie'!E18+'Sam-Woda&amp;Scieki'!E18</f>
        <v>27353938.126500003</v>
      </c>
      <c r="F27" s="333">
        <f>'Sam-Budynki'!F61+'Sam-Pojazdy'!AA70+'Sam-Oswietlenie'!F18+'Sam-Woda&amp;Scieki'!F18</f>
        <v>88636.625192894004</v>
      </c>
      <c r="G27" s="146"/>
      <c r="H27" s="146"/>
      <c r="I27" s="146"/>
      <c r="J27" s="146"/>
      <c r="K27" s="146"/>
      <c r="L27" s="146"/>
      <c r="M27" s="146"/>
      <c r="N27" s="146"/>
      <c r="O27" s="146"/>
      <c r="P27" s="146"/>
      <c r="Q27" s="146"/>
      <c r="R27" s="146"/>
      <c r="S27" s="146"/>
      <c r="T27" s="146"/>
      <c r="U27" s="146"/>
      <c r="V27" s="146"/>
      <c r="W27" s="146"/>
      <c r="X27" s="145"/>
      <c r="Y27" s="145"/>
      <c r="Z27" s="146"/>
      <c r="AA27" s="146"/>
    </row>
    <row r="28" spans="1:27">
      <c r="A28" s="146"/>
      <c r="B28" s="829" t="s">
        <v>513</v>
      </c>
      <c r="C28" s="354">
        <f>'Sam-Budynki'!AH61+'Sam-Woda&amp;Scieki'!M18</f>
        <v>112442.16035668849</v>
      </c>
      <c r="D28" s="355" t="s">
        <v>45</v>
      </c>
      <c r="E28" s="335">
        <f>'Sam-Budynki'!AI61+'Sam-Woda&amp;Scieki'!N18</f>
        <v>19291523.225120001</v>
      </c>
      <c r="F28" s="336">
        <f>'Sam-Budynki'!AJ61+'Sam-Woda&amp;Scieki'!O18</f>
        <v>36431.259955567068</v>
      </c>
      <c r="G28" s="146"/>
      <c r="H28" s="146"/>
      <c r="I28" s="146"/>
      <c r="J28" s="146"/>
      <c r="K28" s="146"/>
      <c r="L28" s="146"/>
      <c r="M28" s="146"/>
      <c r="N28" s="146"/>
      <c r="O28" s="146"/>
      <c r="P28" s="146"/>
      <c r="Q28" s="146"/>
      <c r="R28" s="146"/>
      <c r="S28" s="146"/>
      <c r="T28" s="146"/>
      <c r="U28" s="146"/>
      <c r="V28" s="146"/>
      <c r="W28" s="146"/>
      <c r="X28" s="145"/>
      <c r="Y28" s="145"/>
      <c r="Z28" s="146"/>
      <c r="AA28" s="146"/>
    </row>
    <row r="29" spans="1:27">
      <c r="A29" s="146"/>
      <c r="B29" s="829" t="s">
        <v>514</v>
      </c>
      <c r="C29" s="354">
        <f>'Sam-Budynki'!G61+'Sam-Woda&amp;Scieki'!G18+('Lokalna produkcja energii'!T40*'Lokalna produkcja energii'!R43)</f>
        <v>1623526.9683173543</v>
      </c>
      <c r="D29" s="356" t="s">
        <v>46</v>
      </c>
      <c r="E29" s="335">
        <f>'Sam-Budynki'!H61+'Sam-Woda&amp;Scieki'!H18+'Lokalna produkcja energii'!U40</f>
        <v>1468826.7474</v>
      </c>
      <c r="F29" s="336">
        <f>'Sam-Budynki'!I61+'Sam-Woda&amp;Scieki'!I18+('Lokalna produkcja energii'!W40*'Lokalna produkcja energii'!R43)</f>
        <v>11774.304082930819</v>
      </c>
      <c r="G29" s="146"/>
      <c r="H29" s="146"/>
      <c r="I29" s="146"/>
      <c r="J29" s="146"/>
      <c r="K29" s="146"/>
      <c r="L29" s="146"/>
      <c r="M29" s="146"/>
      <c r="N29" s="146"/>
      <c r="O29" s="146"/>
      <c r="P29" s="146"/>
      <c r="Q29" s="146"/>
      <c r="R29" s="146"/>
      <c r="S29" s="146"/>
      <c r="T29" s="146"/>
      <c r="U29" s="146"/>
      <c r="V29" s="146"/>
      <c r="W29" s="146"/>
      <c r="X29" s="145"/>
      <c r="Y29" s="145"/>
      <c r="Z29" s="146"/>
      <c r="AA29" s="146"/>
    </row>
    <row r="30" spans="1:27">
      <c r="A30" s="146"/>
      <c r="B30" s="829" t="s">
        <v>398</v>
      </c>
      <c r="C30" s="354">
        <v>0</v>
      </c>
      <c r="D30" s="356" t="s">
        <v>46</v>
      </c>
      <c r="E30" s="335">
        <f>'Sam-Budynki'!K61+'Sam-Woda&amp;Scieki'!K18+'Lokalna produkcja energii'!Y40</f>
        <v>0</v>
      </c>
      <c r="F30" s="336">
        <f>'Sam-Budynki'!L61+'Sam-Woda&amp;Scieki'!L18+('Lokalna produkcja energii'!AA40*'Lokalna produkcja energii'!$R$43)</f>
        <v>0</v>
      </c>
      <c r="G30" s="146"/>
      <c r="H30" s="146"/>
      <c r="I30" s="146"/>
      <c r="J30" s="146"/>
      <c r="K30" s="146"/>
      <c r="L30" s="146"/>
      <c r="M30" s="146"/>
      <c r="N30" s="146"/>
      <c r="O30" s="146"/>
      <c r="P30" s="146"/>
      <c r="Q30" s="146"/>
      <c r="R30" s="146"/>
      <c r="S30" s="146"/>
      <c r="T30" s="146"/>
      <c r="U30" s="146"/>
      <c r="V30" s="146"/>
      <c r="W30" s="146"/>
      <c r="X30" s="145"/>
      <c r="Y30" s="145"/>
      <c r="Z30" s="146"/>
      <c r="AA30" s="146"/>
    </row>
    <row r="31" spans="1:27">
      <c r="A31" s="146"/>
      <c r="B31" s="829" t="s">
        <v>465</v>
      </c>
      <c r="C31" s="358">
        <f>'Sam-Budynki'!M61+'Sam-Woda&amp;Scieki'!AE18+('Lokalna produkcja energii'!AB40*'Lokalna produkcja energii'!$R$43)</f>
        <v>120928.97040000001</v>
      </c>
      <c r="D31" s="355" t="s">
        <v>47</v>
      </c>
      <c r="E31" s="359">
        <f>'Sam-Budynki'!N61+'Sam-Woda&amp;Scieki'!AF18+'Lokalna produkcja energii'!AC40</f>
        <v>246342.086832</v>
      </c>
      <c r="F31" s="336">
        <f>'Sam-Budynki'!O61+'Sam-Woda&amp;Scieki'!AG18+('Lokalna produkcja energii'!AE40*'Lokalna produkcja energii'!$R$43)</f>
        <v>335.01398776883804</v>
      </c>
      <c r="G31" s="146"/>
      <c r="H31" s="146"/>
      <c r="I31" s="146"/>
      <c r="J31" s="146"/>
      <c r="K31" s="146"/>
      <c r="L31" s="146"/>
      <c r="M31" s="146"/>
      <c r="N31" s="146"/>
      <c r="O31" s="146"/>
      <c r="P31" s="146"/>
      <c r="Q31" s="146"/>
      <c r="R31" s="146"/>
      <c r="S31" s="146"/>
      <c r="T31" s="146"/>
      <c r="U31" s="146"/>
      <c r="V31" s="146"/>
      <c r="W31" s="146"/>
      <c r="X31" s="145"/>
      <c r="Y31" s="145"/>
      <c r="Z31" s="146"/>
      <c r="AA31" s="146"/>
    </row>
    <row r="32" spans="1:27">
      <c r="A32" s="146"/>
      <c r="B32" s="353" t="s">
        <v>415</v>
      </c>
      <c r="C32" s="354">
        <f>'Sam-Budynki'!P61+'Sam-Pojazdy'!G70+'Sam-Woda&amp;Scieki'!AH18+('Lokalna produkcja energii'!AF40*'Lokalna produkcja energii'!$R$43)</f>
        <v>7602127.3025520006</v>
      </c>
      <c r="D32" s="355" t="s">
        <v>47</v>
      </c>
      <c r="E32" s="335">
        <f>'Sam-Budynki'!Q61+'Sam-Pojazdy'!H70+'Sam-Woda&amp;Scieki'!AI18+'Lokalna produkcja energii'!AG40</f>
        <v>26242870.309416644</v>
      </c>
      <c r="F32" s="336">
        <f>'Sam-Budynki'!R61+'Sam-Pojazdy'!I70+'Sam-Woda&amp;Scieki'!AJ18+('Lokalna produkcja energii'!AI40*'Lokalna produkcja energii'!$R$43)</f>
        <v>20352.602559697032</v>
      </c>
      <c r="G32" s="146"/>
      <c r="H32" s="146"/>
      <c r="I32" s="146"/>
      <c r="J32" s="146"/>
      <c r="K32" s="146"/>
      <c r="L32" s="146"/>
      <c r="M32" s="146"/>
      <c r="N32" s="146"/>
      <c r="O32" s="146"/>
      <c r="P32" s="146"/>
      <c r="Q32" s="146"/>
      <c r="R32" s="146"/>
      <c r="S32" s="146"/>
      <c r="T32" s="146"/>
      <c r="U32" s="146"/>
      <c r="V32" s="146"/>
      <c r="W32" s="146"/>
      <c r="X32" s="145"/>
      <c r="Y32" s="145"/>
      <c r="Z32" s="146"/>
      <c r="AA32" s="146"/>
    </row>
    <row r="33" spans="1:27">
      <c r="A33" s="146"/>
      <c r="B33" s="829" t="s">
        <v>515</v>
      </c>
      <c r="C33" s="354">
        <f>'Sam-Pojazdy'!V70</f>
        <v>0</v>
      </c>
      <c r="D33" s="355" t="s">
        <v>47</v>
      </c>
      <c r="E33" s="335">
        <f>'Sam-Pojazdy'!W70</f>
        <v>0</v>
      </c>
      <c r="F33" s="336">
        <f>'Sam-Pojazdy'!X70</f>
        <v>0</v>
      </c>
      <c r="G33" s="146"/>
      <c r="H33" s="146"/>
      <c r="I33" s="146"/>
      <c r="J33" s="146"/>
      <c r="K33" s="146"/>
      <c r="L33" s="146"/>
      <c r="M33" s="146"/>
      <c r="N33" s="146"/>
      <c r="O33" s="146"/>
      <c r="P33" s="146"/>
      <c r="Q33" s="146"/>
      <c r="R33" s="146"/>
      <c r="S33" s="146"/>
      <c r="T33" s="146"/>
      <c r="U33" s="146"/>
      <c r="V33" s="146"/>
      <c r="W33" s="146"/>
      <c r="X33" s="145"/>
      <c r="Y33" s="145"/>
      <c r="Z33" s="146"/>
      <c r="AA33" s="146"/>
    </row>
    <row r="34" spans="1:27">
      <c r="A34" s="146"/>
      <c r="B34" s="830" t="s">
        <v>413</v>
      </c>
      <c r="C34" s="354">
        <f>'Sam-Pojazdy'!D70</f>
        <v>116757.78956400001</v>
      </c>
      <c r="D34" s="361" t="s">
        <v>47</v>
      </c>
      <c r="E34" s="335">
        <f>'Sam-Pojazdy'!E70</f>
        <v>458163.06425059994</v>
      </c>
      <c r="F34" s="336">
        <f>'Sam-Pojazdy'!F70</f>
        <v>280.05560767313705</v>
      </c>
      <c r="G34" s="146"/>
      <c r="H34" s="146"/>
      <c r="I34" s="146"/>
      <c r="J34" s="146"/>
      <c r="K34" s="146"/>
      <c r="L34" s="146"/>
      <c r="M34" s="146"/>
      <c r="N34" s="146"/>
      <c r="O34" s="146"/>
      <c r="P34" s="146"/>
      <c r="Q34" s="146"/>
      <c r="R34" s="146"/>
      <c r="S34" s="146"/>
      <c r="T34" s="146"/>
      <c r="U34" s="146"/>
      <c r="V34" s="146"/>
      <c r="W34" s="146"/>
      <c r="X34" s="145"/>
      <c r="Y34" s="145"/>
      <c r="Z34" s="146"/>
      <c r="AA34" s="146"/>
    </row>
    <row r="35" spans="1:27">
      <c r="A35" s="146"/>
      <c r="B35" s="353" t="s">
        <v>420</v>
      </c>
      <c r="C35" s="354">
        <f>'Sam-Pojazdy'!S70</f>
        <v>0</v>
      </c>
      <c r="D35" s="355" t="s">
        <v>47</v>
      </c>
      <c r="E35" s="335">
        <f>'Sam-Pojazdy'!T70</f>
        <v>0</v>
      </c>
      <c r="F35" s="336">
        <f>'Sam-Pojazdy'!U70</f>
        <v>0</v>
      </c>
      <c r="G35" s="146"/>
      <c r="H35" s="146"/>
      <c r="I35" s="146"/>
      <c r="J35" s="146"/>
      <c r="K35" s="146"/>
      <c r="L35" s="146"/>
      <c r="M35" s="146"/>
      <c r="N35" s="146"/>
      <c r="O35" s="146"/>
      <c r="P35" s="146"/>
      <c r="Q35" s="146"/>
      <c r="R35" s="146"/>
      <c r="S35" s="146"/>
      <c r="T35" s="146"/>
      <c r="U35" s="146"/>
      <c r="V35" s="146"/>
      <c r="W35" s="146"/>
      <c r="X35" s="145"/>
      <c r="Y35" s="145"/>
      <c r="Z35" s="146"/>
      <c r="AA35" s="146"/>
    </row>
    <row r="36" spans="1:27">
      <c r="A36" s="146"/>
      <c r="B36" s="831" t="s">
        <v>357</v>
      </c>
      <c r="C36" s="362">
        <f>'Sam-Budynki'!AB61</f>
        <v>0</v>
      </c>
      <c r="D36" s="363" t="s">
        <v>47</v>
      </c>
      <c r="E36" s="364">
        <f>'Sam-Budynki'!AC61</f>
        <v>0</v>
      </c>
      <c r="F36" s="365">
        <f>'Sam-Budynki'!AD61</f>
        <v>0</v>
      </c>
      <c r="G36" s="146"/>
      <c r="H36" s="146"/>
      <c r="I36" s="146"/>
      <c r="J36" s="146"/>
      <c r="K36" s="146"/>
      <c r="L36" s="146"/>
      <c r="M36" s="146"/>
      <c r="N36" s="146"/>
      <c r="O36" s="146"/>
      <c r="P36" s="146"/>
      <c r="Q36" s="146"/>
      <c r="R36" s="146"/>
      <c r="S36" s="146"/>
      <c r="T36" s="146"/>
      <c r="U36" s="146"/>
      <c r="V36" s="146"/>
      <c r="W36" s="146"/>
      <c r="X36" s="145"/>
      <c r="Y36" s="145"/>
      <c r="Z36" s="146"/>
      <c r="AA36" s="146"/>
    </row>
    <row r="37" spans="1:27">
      <c r="A37" s="146"/>
      <c r="B37" s="829" t="s">
        <v>354</v>
      </c>
      <c r="C37" s="354">
        <f>'Sam-Budynki'!V61+'Sam-Woda&amp;Scieki'!S18+('Lokalna produkcja energii'!AJ40*'Lokalna produkcja energii'!$R$43)</f>
        <v>13567.239705665375</v>
      </c>
      <c r="D37" s="355" t="s">
        <v>519</v>
      </c>
      <c r="E37" s="335">
        <f>'Sam-Budynki'!T61+'Sam-Woda&amp;Scieki'!T18+'Lokalna produkcja energii'!AK40</f>
        <v>227038</v>
      </c>
      <c r="F37" s="336">
        <f>'Sam-Budynki'!U61+'Sam-Woda&amp;Scieki'!U18+('Lokalna produkcja energii'!AM40*'Lokalna produkcja energii'!$R$43)</f>
        <v>32581.87050783325</v>
      </c>
      <c r="G37" s="146"/>
      <c r="H37" s="146"/>
      <c r="I37" s="146"/>
      <c r="J37" s="146"/>
      <c r="K37" s="146"/>
      <c r="L37" s="146"/>
      <c r="M37" s="146"/>
      <c r="N37" s="146"/>
      <c r="O37" s="146"/>
      <c r="P37" s="146"/>
      <c r="Q37" s="146"/>
      <c r="R37" s="146"/>
      <c r="S37" s="146"/>
      <c r="T37" s="146"/>
      <c r="U37" s="146"/>
      <c r="V37" s="146"/>
      <c r="W37" s="146"/>
      <c r="X37" s="145"/>
      <c r="Y37" s="145"/>
      <c r="Z37" s="146"/>
      <c r="AA37" s="146"/>
    </row>
    <row r="38" spans="1:27">
      <c r="A38" s="146"/>
      <c r="B38" s="829" t="s">
        <v>516</v>
      </c>
      <c r="C38" s="354">
        <f>'Sam-Budynki'!V61+'Sam-Woda&amp;Scieki'!V18+('Lokalna produkcja energii'!AN40*'Lokalna produkcja energii'!$R$43)</f>
        <v>0</v>
      </c>
      <c r="D38" s="355" t="s">
        <v>519</v>
      </c>
      <c r="E38" s="335">
        <f>'Sam-Budynki'!W61+'Sam-Woda&amp;Scieki'!W18+'Lokalna produkcja energii'!AO40</f>
        <v>0</v>
      </c>
      <c r="F38" s="336">
        <f>'Sam-Budynki'!X61+'Sam-Woda&amp;Scieki'!X18+('Lokalna produkcja energii'!AQ40*'Lokalna produkcja energii'!$R$43)</f>
        <v>0</v>
      </c>
      <c r="G38" s="146"/>
      <c r="H38" s="146"/>
      <c r="I38" s="146"/>
      <c r="J38" s="146"/>
      <c r="K38" s="146"/>
      <c r="L38" s="146"/>
      <c r="M38" s="146"/>
      <c r="N38" s="146"/>
      <c r="O38" s="146"/>
      <c r="P38" s="146"/>
      <c r="Q38" s="146"/>
      <c r="R38" s="146"/>
      <c r="S38" s="146"/>
      <c r="T38" s="146"/>
      <c r="U38" s="146"/>
      <c r="V38" s="146"/>
      <c r="W38" s="146"/>
      <c r="X38" s="145"/>
      <c r="Y38" s="145"/>
      <c r="Z38" s="146"/>
      <c r="AA38" s="146"/>
    </row>
    <row r="39" spans="1:27">
      <c r="A39" s="146"/>
      <c r="B39" s="829" t="s">
        <v>517</v>
      </c>
      <c r="C39" s="354">
        <f>'Sam-Budynki'!V61+'Sam-Woda&amp;Scieki'!V19+('Lokalna produkcja energii'!AR40*'Lokalna produkcja energii'!$R$43)</f>
        <v>0</v>
      </c>
      <c r="D39" s="355" t="s">
        <v>519</v>
      </c>
      <c r="E39" s="335">
        <f>'Lokalna produkcja energii'!AS40</f>
        <v>0</v>
      </c>
      <c r="F39" s="336">
        <f>'Lokalna produkcja energii'!AU40*'Lokalna produkcja energii'!$R$43</f>
        <v>0</v>
      </c>
      <c r="G39" s="146"/>
      <c r="H39" s="146"/>
      <c r="I39" s="146"/>
      <c r="J39" s="146"/>
      <c r="K39" s="146"/>
      <c r="L39" s="146"/>
      <c r="M39" s="146"/>
      <c r="N39" s="146"/>
      <c r="O39" s="146"/>
      <c r="P39" s="146"/>
      <c r="Q39" s="146"/>
      <c r="R39" s="146"/>
      <c r="S39" s="146"/>
      <c r="T39" s="146"/>
      <c r="U39" s="146"/>
      <c r="V39" s="146"/>
      <c r="W39" s="146"/>
      <c r="X39" s="145"/>
      <c r="Y39" s="145"/>
      <c r="Z39" s="146"/>
      <c r="AA39" s="146"/>
    </row>
    <row r="40" spans="1:27">
      <c r="A40" s="146"/>
      <c r="B40" s="353" t="s">
        <v>49</v>
      </c>
      <c r="C40" s="354">
        <f>'Sam-Pojazdy'!J70</f>
        <v>3061</v>
      </c>
      <c r="D40" s="355" t="s">
        <v>47</v>
      </c>
      <c r="E40" s="335">
        <f>'Sam-Pojazdy'!K70</f>
        <v>6061</v>
      </c>
      <c r="F40" s="336">
        <f>'Sam-Pojazdy'!L70</f>
        <v>21.451926135790913</v>
      </c>
      <c r="G40" s="146"/>
      <c r="H40" s="146"/>
      <c r="I40" s="146"/>
      <c r="J40" s="146"/>
      <c r="K40" s="146"/>
      <c r="L40" s="146"/>
      <c r="M40" s="146"/>
      <c r="N40" s="146"/>
      <c r="O40" s="146"/>
      <c r="P40" s="146"/>
      <c r="Q40" s="146"/>
      <c r="R40" s="146"/>
      <c r="S40" s="146"/>
      <c r="T40" s="146"/>
      <c r="U40" s="146"/>
      <c r="V40" s="146"/>
      <c r="W40" s="146"/>
      <c r="X40" s="145"/>
      <c r="Y40" s="145"/>
      <c r="Z40" s="146"/>
      <c r="AA40" s="146"/>
    </row>
    <row r="41" spans="1:27">
      <c r="A41" s="146"/>
      <c r="B41" s="360" t="s">
        <v>419</v>
      </c>
      <c r="C41" s="362">
        <f>'Sam-Budynki'!Y61+'Sam-Pojazdy'!P70</f>
        <v>64912.374400000001</v>
      </c>
      <c r="D41" s="361" t="s">
        <v>47</v>
      </c>
      <c r="E41" s="364">
        <f>'Sam-Budynki'!Z61+'Sam-Pojazdy'!Q70</f>
        <v>98685.185167999996</v>
      </c>
      <c r="F41" s="365">
        <f>'Sam-Budynki'!AA61+'Sam-Pojazdy'!R70</f>
        <v>109.38955439038719</v>
      </c>
      <c r="G41" s="146"/>
      <c r="H41" s="146"/>
      <c r="I41" s="146"/>
      <c r="J41" s="146"/>
      <c r="K41" s="146"/>
      <c r="L41" s="146"/>
      <c r="M41" s="146"/>
      <c r="N41" s="146"/>
      <c r="O41" s="146"/>
      <c r="P41" s="146"/>
      <c r="Q41" s="146"/>
      <c r="R41" s="146"/>
      <c r="S41" s="146"/>
      <c r="T41" s="146"/>
      <c r="U41" s="146"/>
      <c r="V41" s="146"/>
      <c r="W41" s="146"/>
      <c r="X41" s="145"/>
      <c r="Y41" s="145"/>
      <c r="Z41" s="146"/>
      <c r="AA41" s="146"/>
    </row>
    <row r="42" spans="1:27">
      <c r="A42" s="146"/>
      <c r="B42" s="832" t="s">
        <v>464</v>
      </c>
      <c r="C42" s="366">
        <f>'Sam-Pojazdy'!M70+'Sam-Woda&amp;Scieki'!P18+('Lokalna produkcja energii'!AB23*'Lokalna produkcja energii'!$R$26)</f>
        <v>621649</v>
      </c>
      <c r="D42" s="367" t="s">
        <v>46</v>
      </c>
      <c r="E42" s="368">
        <f>'Sam-Pojazdy'!N70+'Sam-Woda&amp;Scieki'!Q18+'Lokalna produkcja energii'!AC23</f>
        <v>0</v>
      </c>
      <c r="F42" s="336">
        <f>'Sam-Pojazdy'!O70+'Sam-Woda&amp;Scieki'!R18+('Lokalna produkcja energii'!AE23*'Lokalna produkcja energii'!$R$26)</f>
        <v>4606.5761918784656</v>
      </c>
      <c r="G42" s="146"/>
      <c r="H42" s="146"/>
      <c r="I42" s="146"/>
      <c r="J42" s="146"/>
      <c r="K42" s="146"/>
      <c r="L42" s="146"/>
      <c r="M42" s="146"/>
      <c r="N42" s="146"/>
      <c r="O42" s="146"/>
      <c r="P42" s="146"/>
      <c r="Q42" s="146"/>
      <c r="R42" s="146"/>
      <c r="S42" s="146"/>
      <c r="T42" s="146"/>
      <c r="U42" s="146"/>
      <c r="V42" s="146"/>
      <c r="W42" s="146"/>
      <c r="X42" s="145"/>
      <c r="Y42" s="145"/>
      <c r="Z42" s="146"/>
      <c r="AA42" s="146"/>
    </row>
    <row r="43" spans="1:27">
      <c r="A43" s="146"/>
      <c r="B43" s="830" t="s">
        <v>358</v>
      </c>
      <c r="C43" s="362">
        <f>'Sam-Budynki'!AE61+'Sam-Woda&amp;Scieki'!Y18+('Lokalna produkcja energii'!T23*'Lokalna produkcja energii'!$R$26)</f>
        <v>0</v>
      </c>
      <c r="D43" s="361" t="s">
        <v>519</v>
      </c>
      <c r="E43" s="364">
        <f>'Sam-Budynki'!AF61+'Sam-Woda&amp;Scieki'!Z18+'Lokalna produkcja energii'!U23</f>
        <v>0</v>
      </c>
      <c r="F43" s="365">
        <f>'Sam-Budynki'!AG61+'Sam-Woda&amp;Scieki'!AA18+('Lokalna produkcja energii'!W23*'Lokalna produkcja energii'!$R$26)</f>
        <v>0</v>
      </c>
      <c r="G43" s="146"/>
      <c r="H43" s="146"/>
      <c r="I43" s="146"/>
      <c r="J43" s="146"/>
      <c r="K43" s="146"/>
      <c r="L43" s="146"/>
      <c r="M43" s="146"/>
      <c r="N43" s="146"/>
      <c r="O43" s="146"/>
      <c r="P43" s="146"/>
      <c r="Q43" s="146"/>
      <c r="R43" s="146"/>
      <c r="S43" s="146"/>
      <c r="T43" s="146"/>
      <c r="U43" s="146"/>
      <c r="V43" s="146"/>
      <c r="W43" s="146"/>
      <c r="X43" s="145"/>
      <c r="Y43" s="145"/>
      <c r="Z43" s="146"/>
      <c r="AA43" s="146"/>
    </row>
    <row r="44" spans="1:27">
      <c r="A44" s="146"/>
      <c r="B44" s="830" t="s">
        <v>518</v>
      </c>
      <c r="C44" s="362">
        <f>'Lokalna produkcja energii'!X23*'Lokalna produkcja energii'!$R$26</f>
        <v>0</v>
      </c>
      <c r="D44" s="361" t="s">
        <v>519</v>
      </c>
      <c r="E44" s="364">
        <f>'Lokalna produkcja energii'!Y23</f>
        <v>0</v>
      </c>
      <c r="F44" s="365">
        <f>'Lokalna produkcja energii'!AA23*'Lokalna produkcja energii'!R26</f>
        <v>0</v>
      </c>
      <c r="G44" s="146"/>
      <c r="H44" s="146"/>
      <c r="I44" s="146"/>
      <c r="J44" s="146"/>
      <c r="K44" s="146"/>
      <c r="L44" s="146"/>
      <c r="M44" s="146"/>
      <c r="N44" s="146"/>
      <c r="O44" s="146"/>
      <c r="P44" s="146"/>
      <c r="Q44" s="146"/>
      <c r="R44" s="146"/>
      <c r="S44" s="146"/>
      <c r="T44" s="146"/>
      <c r="U44" s="146"/>
      <c r="V44" s="146"/>
      <c r="W44" s="146"/>
      <c r="X44" s="145"/>
      <c r="Y44" s="145"/>
      <c r="Z44" s="146"/>
      <c r="AA44" s="146"/>
    </row>
    <row r="45" spans="1:27">
      <c r="A45" s="146"/>
      <c r="B45" s="360" t="s">
        <v>504</v>
      </c>
      <c r="C45" s="362">
        <f>'Sam-Odpady'!D62</f>
        <v>17980.765802000005</v>
      </c>
      <c r="D45" s="361" t="s">
        <v>519</v>
      </c>
      <c r="E45" s="364"/>
      <c r="F45" s="365">
        <f>'Sam-Odpady'!E62</f>
        <v>11624.565090992999</v>
      </c>
      <c r="G45" s="146"/>
      <c r="H45" s="146"/>
      <c r="I45" s="146"/>
      <c r="J45" s="146"/>
      <c r="K45" s="146"/>
      <c r="L45" s="146"/>
      <c r="M45" s="146"/>
      <c r="N45" s="146"/>
      <c r="O45" s="146"/>
      <c r="P45" s="146"/>
      <c r="Q45" s="146"/>
      <c r="R45" s="146"/>
      <c r="S45" s="146"/>
      <c r="T45" s="146"/>
      <c r="U45" s="146"/>
      <c r="V45" s="146"/>
      <c r="W45" s="146"/>
      <c r="X45" s="145"/>
      <c r="Y45" s="145"/>
      <c r="Z45" s="146"/>
      <c r="AA45" s="146"/>
    </row>
    <row r="46" spans="1:27">
      <c r="A46" s="146"/>
      <c r="B46" s="833" t="s">
        <v>507</v>
      </c>
      <c r="C46" s="369"/>
      <c r="D46" s="370"/>
      <c r="E46" s="371">
        <f>SUM(E27:E45)</f>
        <v>75393447.744687244</v>
      </c>
      <c r="F46" s="346">
        <f>SUM(F27:F45)</f>
        <v>206753.7146577618</v>
      </c>
      <c r="G46" s="146"/>
      <c r="H46" s="146"/>
      <c r="I46" s="146"/>
      <c r="J46" s="146"/>
      <c r="K46" s="146"/>
      <c r="L46" s="146"/>
      <c r="M46" s="146"/>
      <c r="N46" s="146"/>
      <c r="O46" s="146"/>
      <c r="P46" s="146"/>
      <c r="Q46" s="146"/>
      <c r="R46" s="146"/>
      <c r="S46" s="146"/>
      <c r="T46" s="146"/>
      <c r="U46" s="146"/>
      <c r="V46" s="146"/>
      <c r="W46" s="146"/>
      <c r="X46" s="145"/>
      <c r="Y46" s="145"/>
      <c r="Z46" s="146"/>
      <c r="AA46" s="146"/>
    </row>
    <row r="47" spans="1:27">
      <c r="A47" s="146"/>
      <c r="B47" s="146"/>
      <c r="C47" s="145"/>
      <c r="D47" s="145"/>
      <c r="E47" s="145"/>
      <c r="F47" s="146"/>
      <c r="G47" s="146"/>
      <c r="H47" s="146"/>
      <c r="I47" s="146"/>
      <c r="J47" s="146"/>
      <c r="K47" s="146"/>
      <c r="L47" s="146"/>
      <c r="M47" s="146"/>
      <c r="N47" s="146"/>
      <c r="O47" s="146"/>
      <c r="P47" s="146"/>
      <c r="Q47" s="146"/>
      <c r="R47" s="146"/>
      <c r="S47" s="146"/>
      <c r="T47" s="146"/>
      <c r="U47" s="146"/>
      <c r="V47" s="146"/>
      <c r="W47" s="146"/>
      <c r="X47" s="145"/>
      <c r="Y47" s="145"/>
      <c r="Z47" s="146"/>
      <c r="AA47" s="146"/>
    </row>
    <row r="48" spans="1:27">
      <c r="A48" s="146"/>
      <c r="B48" s="146"/>
      <c r="C48" s="145"/>
      <c r="D48" s="145"/>
      <c r="E48" s="145"/>
      <c r="F48" s="146"/>
      <c r="G48" s="146"/>
      <c r="H48" s="146"/>
      <c r="I48" s="146"/>
      <c r="J48" s="146"/>
      <c r="K48" s="146"/>
      <c r="L48" s="146"/>
      <c r="M48" s="146"/>
      <c r="N48" s="146"/>
      <c r="O48" s="146"/>
      <c r="P48" s="146"/>
      <c r="Q48" s="146"/>
      <c r="R48" s="146"/>
      <c r="S48" s="146"/>
      <c r="T48" s="146"/>
      <c r="U48" s="146"/>
      <c r="V48" s="146"/>
      <c r="W48" s="146"/>
      <c r="X48" s="145"/>
      <c r="Y48" s="145"/>
      <c r="Z48" s="146"/>
      <c r="AA48" s="146"/>
    </row>
    <row r="49" spans="1:27" ht="52.5" customHeight="1">
      <c r="A49" s="146"/>
      <c r="B49" s="372" t="s">
        <v>50</v>
      </c>
      <c r="C49" s="961" t="s">
        <v>497</v>
      </c>
      <c r="D49" s="961"/>
      <c r="E49" s="961"/>
      <c r="F49" s="961"/>
      <c r="G49" s="146"/>
      <c r="H49" s="146"/>
      <c r="I49" s="146"/>
      <c r="J49" s="146"/>
      <c r="K49" s="146"/>
      <c r="L49" s="146"/>
      <c r="M49" s="146"/>
      <c r="N49" s="146"/>
      <c r="O49" s="146"/>
      <c r="P49" s="146"/>
      <c r="Q49" s="146"/>
      <c r="R49" s="146"/>
      <c r="S49" s="146"/>
      <c r="T49" s="146"/>
      <c r="U49" s="146"/>
      <c r="V49" s="146"/>
      <c r="W49" s="146"/>
      <c r="X49" s="145"/>
      <c r="Y49" s="145"/>
      <c r="Z49" s="146"/>
      <c r="AA49" s="146"/>
    </row>
    <row r="50" spans="1:27" ht="40.5" customHeight="1">
      <c r="A50" s="146"/>
      <c r="B50" s="372" t="s">
        <v>51</v>
      </c>
      <c r="C50" s="962" t="s">
        <v>52</v>
      </c>
      <c r="D50" s="962"/>
      <c r="E50" s="962"/>
      <c r="F50" s="962"/>
      <c r="G50" s="146"/>
      <c r="H50" s="146"/>
      <c r="I50" s="146"/>
      <c r="J50" s="146"/>
      <c r="K50" s="146"/>
      <c r="L50" s="146"/>
      <c r="M50" s="146"/>
      <c r="N50" s="146"/>
      <c r="O50" s="146"/>
      <c r="P50" s="146"/>
      <c r="Q50" s="146"/>
      <c r="R50" s="146"/>
      <c r="S50" s="146"/>
      <c r="T50" s="146"/>
      <c r="U50" s="146"/>
      <c r="V50" s="146"/>
      <c r="W50" s="146"/>
      <c r="X50" s="145"/>
      <c r="Y50" s="145"/>
      <c r="Z50" s="146"/>
      <c r="AA50" s="146"/>
    </row>
    <row r="51" spans="1:27">
      <c r="A51" s="146"/>
      <c r="B51" s="146"/>
      <c r="C51" s="145"/>
      <c r="D51" s="145"/>
      <c r="E51" s="145"/>
      <c r="F51" s="146"/>
      <c r="G51" s="146"/>
      <c r="H51" s="146"/>
      <c r="I51" s="146"/>
      <c r="J51" s="146"/>
      <c r="K51" s="146"/>
      <c r="L51" s="146"/>
      <c r="M51" s="146"/>
      <c r="N51" s="146"/>
      <c r="O51" s="146"/>
      <c r="P51" s="146"/>
      <c r="Q51" s="146"/>
      <c r="R51" s="146"/>
      <c r="S51" s="146"/>
      <c r="T51" s="146"/>
      <c r="U51" s="146"/>
      <c r="V51" s="146"/>
      <c r="W51" s="146"/>
      <c r="X51" s="145"/>
      <c r="Y51" s="145"/>
      <c r="Z51" s="146"/>
      <c r="AA51" s="146"/>
    </row>
    <row r="52" spans="1:27">
      <c r="A52" s="146"/>
      <c r="B52" s="146"/>
      <c r="C52" s="145"/>
      <c r="D52" s="145"/>
      <c r="E52" s="145"/>
      <c r="F52" s="146"/>
      <c r="G52" s="146"/>
      <c r="H52" s="146"/>
      <c r="I52" s="146"/>
      <c r="J52" s="146"/>
      <c r="K52" s="146"/>
      <c r="L52" s="146"/>
      <c r="M52" s="146"/>
      <c r="N52" s="146"/>
      <c r="O52" s="146"/>
      <c r="P52" s="146"/>
      <c r="Q52" s="146"/>
      <c r="R52" s="146"/>
      <c r="S52" s="146"/>
      <c r="T52" s="146"/>
      <c r="U52" s="146"/>
      <c r="V52" s="146"/>
      <c r="W52" s="146"/>
      <c r="X52" s="145"/>
      <c r="Y52" s="145"/>
      <c r="Z52" s="146"/>
      <c r="AA52" s="146"/>
    </row>
    <row r="53" spans="1:27">
      <c r="A53" s="146"/>
      <c r="D53" s="145"/>
      <c r="E53" s="145"/>
      <c r="F53" s="146"/>
      <c r="G53" s="146"/>
      <c r="H53" s="146"/>
      <c r="I53" s="146"/>
      <c r="J53" s="146"/>
      <c r="K53" s="146"/>
      <c r="L53" s="146"/>
      <c r="M53" s="146"/>
      <c r="N53" s="146"/>
      <c r="O53" s="146"/>
      <c r="P53" s="146"/>
      <c r="Q53" s="146"/>
      <c r="R53" s="146"/>
      <c r="S53" s="146"/>
      <c r="T53" s="146"/>
      <c r="U53" s="146"/>
      <c r="V53" s="146"/>
      <c r="W53" s="146"/>
      <c r="X53" s="145"/>
      <c r="Y53" s="145"/>
      <c r="Z53" s="146"/>
      <c r="AA53" s="146"/>
    </row>
    <row r="54" spans="1:27">
      <c r="A54" s="146"/>
      <c r="B54" s="146"/>
      <c r="C54" s="145"/>
      <c r="D54" s="145"/>
      <c r="E54" s="145"/>
      <c r="F54" s="146"/>
      <c r="G54" s="146"/>
      <c r="H54" s="146"/>
      <c r="I54" s="146"/>
      <c r="J54" s="146"/>
      <c r="K54" s="146"/>
      <c r="L54" s="146"/>
      <c r="M54" s="146"/>
      <c r="N54" s="146"/>
      <c r="O54" s="146"/>
      <c r="P54" s="146"/>
      <c r="Q54" s="146"/>
      <c r="R54" s="146"/>
      <c r="S54" s="146"/>
      <c r="T54" s="146"/>
      <c r="U54" s="146"/>
      <c r="V54" s="146"/>
      <c r="W54" s="146"/>
      <c r="X54" s="145"/>
      <c r="Y54" s="145"/>
      <c r="Z54" s="146"/>
      <c r="AA54" s="146"/>
    </row>
    <row r="55" spans="1:27">
      <c r="A55" s="146"/>
      <c r="B55" s="146"/>
      <c r="C55" s="145"/>
      <c r="D55" s="145"/>
      <c r="E55" s="145"/>
      <c r="F55" s="146"/>
      <c r="G55" s="146"/>
      <c r="H55" s="146"/>
      <c r="I55" s="146"/>
      <c r="J55" s="146"/>
      <c r="K55" s="146"/>
      <c r="L55" s="146"/>
      <c r="M55" s="146"/>
      <c r="N55" s="146"/>
      <c r="O55" s="146"/>
      <c r="P55" s="146"/>
      <c r="Q55" s="146"/>
      <c r="R55" s="146"/>
      <c r="S55" s="146"/>
      <c r="T55" s="146"/>
      <c r="U55" s="146"/>
      <c r="V55" s="146"/>
      <c r="W55" s="146"/>
      <c r="X55" s="145"/>
      <c r="Y55" s="145"/>
      <c r="Z55" s="146"/>
      <c r="AA55" s="146"/>
    </row>
    <row r="56" spans="1:27">
      <c r="A56" s="146"/>
      <c r="B56" s="146"/>
      <c r="C56" s="145"/>
      <c r="D56" s="145"/>
      <c r="E56" s="145"/>
      <c r="F56" s="146"/>
      <c r="G56" s="146"/>
      <c r="H56" s="146"/>
      <c r="I56" s="146"/>
      <c r="J56" s="146"/>
      <c r="K56" s="146"/>
      <c r="L56" s="146"/>
      <c r="M56" s="146"/>
      <c r="N56" s="146"/>
      <c r="O56" s="146"/>
      <c r="P56" s="146"/>
      <c r="Q56" s="146"/>
      <c r="R56" s="146"/>
      <c r="S56" s="146"/>
      <c r="T56" s="146"/>
      <c r="U56" s="146"/>
      <c r="V56" s="146"/>
      <c r="W56" s="146"/>
      <c r="X56" s="145"/>
      <c r="Y56" s="145"/>
      <c r="Z56" s="146"/>
      <c r="AA56" s="146"/>
    </row>
    <row r="57" spans="1:27">
      <c r="A57" s="146"/>
      <c r="B57" s="146"/>
      <c r="C57" s="145"/>
      <c r="D57" s="145"/>
      <c r="E57" s="145"/>
      <c r="F57" s="146"/>
      <c r="G57" s="146"/>
      <c r="H57" s="146"/>
      <c r="I57" s="146"/>
      <c r="J57" s="146"/>
      <c r="K57" s="146"/>
      <c r="L57" s="146"/>
      <c r="M57" s="146"/>
      <c r="N57" s="146"/>
      <c r="O57" s="146"/>
      <c r="P57" s="146"/>
      <c r="Q57" s="146"/>
      <c r="R57" s="146"/>
      <c r="S57" s="146"/>
      <c r="T57" s="145"/>
      <c r="U57" s="145"/>
      <c r="V57" s="145"/>
      <c r="W57" s="146"/>
      <c r="X57" s="145"/>
      <c r="Y57" s="145"/>
      <c r="Z57" s="146"/>
      <c r="AA57" s="146"/>
    </row>
    <row r="58" spans="1:27">
      <c r="A58" s="146"/>
      <c r="B58" s="146"/>
      <c r="C58" s="145"/>
      <c r="D58" s="145"/>
      <c r="E58" s="145"/>
      <c r="F58" s="146"/>
      <c r="G58" s="146"/>
      <c r="H58" s="146"/>
      <c r="I58" s="146"/>
      <c r="J58" s="146"/>
      <c r="K58" s="146"/>
      <c r="L58" s="146"/>
      <c r="M58" s="146"/>
      <c r="N58" s="146"/>
      <c r="O58" s="146"/>
      <c r="P58" s="146"/>
      <c r="Q58" s="146"/>
      <c r="R58" s="146"/>
      <c r="S58" s="146"/>
      <c r="T58" s="145"/>
      <c r="U58" s="145"/>
      <c r="V58" s="145"/>
      <c r="W58" s="146"/>
      <c r="X58" s="145"/>
      <c r="Y58" s="145"/>
      <c r="Z58" s="146"/>
      <c r="AA58" s="146"/>
    </row>
    <row r="59" spans="1:27">
      <c r="A59" s="146"/>
      <c r="B59" s="146"/>
      <c r="C59" s="145"/>
      <c r="D59" s="145"/>
      <c r="E59" s="145"/>
      <c r="F59" s="146"/>
      <c r="G59" s="146"/>
      <c r="H59" s="146"/>
      <c r="I59" s="146"/>
      <c r="J59" s="146"/>
      <c r="K59" s="146"/>
      <c r="L59" s="146"/>
      <c r="M59" s="146"/>
      <c r="N59" s="146"/>
      <c r="O59" s="146"/>
      <c r="P59" s="146"/>
      <c r="Q59" s="146"/>
      <c r="R59" s="146"/>
      <c r="S59" s="146"/>
      <c r="T59" s="145"/>
      <c r="U59" s="145"/>
      <c r="V59" s="145"/>
      <c r="W59" s="146"/>
      <c r="X59" s="145"/>
      <c r="Y59" s="145"/>
      <c r="Z59" s="146"/>
      <c r="AA59" s="146"/>
    </row>
    <row r="60" spans="1:27">
      <c r="A60" s="146"/>
      <c r="B60" s="146"/>
      <c r="C60" s="145"/>
      <c r="D60" s="145"/>
      <c r="E60" s="145"/>
      <c r="F60" s="146"/>
      <c r="G60" s="146"/>
      <c r="H60" s="146"/>
      <c r="I60" s="146"/>
      <c r="J60" s="146"/>
      <c r="K60" s="146"/>
      <c r="L60" s="146"/>
      <c r="M60" s="146"/>
      <c r="N60" s="146"/>
      <c r="O60" s="146"/>
      <c r="P60" s="146"/>
      <c r="Q60" s="146"/>
      <c r="R60" s="146"/>
      <c r="S60" s="146"/>
      <c r="T60" s="145"/>
      <c r="U60" s="145"/>
      <c r="V60" s="145"/>
      <c r="W60" s="146"/>
      <c r="X60" s="145"/>
      <c r="Y60" s="145"/>
      <c r="Z60" s="146"/>
      <c r="AA60" s="146"/>
    </row>
    <row r="61" spans="1:27">
      <c r="A61" s="146"/>
      <c r="B61" s="146"/>
      <c r="C61" s="145"/>
      <c r="D61" s="145"/>
      <c r="E61" s="145"/>
      <c r="F61" s="146"/>
      <c r="G61" s="146"/>
      <c r="H61" s="146"/>
      <c r="I61" s="146"/>
      <c r="J61" s="146"/>
      <c r="K61" s="146"/>
      <c r="L61" s="146"/>
      <c r="M61" s="146"/>
      <c r="N61" s="146"/>
      <c r="O61" s="146"/>
      <c r="P61" s="146"/>
      <c r="Q61" s="146"/>
      <c r="R61" s="146"/>
      <c r="S61" s="146"/>
      <c r="T61" s="145"/>
      <c r="U61" s="145"/>
      <c r="V61" s="145"/>
      <c r="W61" s="146"/>
      <c r="X61" s="145"/>
      <c r="Y61" s="145"/>
      <c r="Z61" s="146"/>
      <c r="AA61" s="146"/>
    </row>
    <row r="62" spans="1:27">
      <c r="A62" s="146"/>
      <c r="B62" s="146"/>
      <c r="C62" s="145"/>
      <c r="D62" s="145"/>
      <c r="E62" s="145"/>
      <c r="F62" s="146"/>
      <c r="G62" s="146"/>
      <c r="H62" s="146"/>
      <c r="I62" s="146"/>
      <c r="J62" s="146"/>
      <c r="K62" s="146"/>
      <c r="L62" s="146"/>
      <c r="M62" s="146"/>
      <c r="N62" s="146"/>
      <c r="O62" s="146"/>
      <c r="P62" s="146"/>
      <c r="Q62" s="146"/>
      <c r="R62" s="146"/>
      <c r="S62" s="146"/>
      <c r="T62" s="145"/>
      <c r="U62" s="145"/>
      <c r="V62" s="145"/>
      <c r="W62" s="146"/>
      <c r="X62" s="145"/>
      <c r="Y62" s="145"/>
      <c r="Z62" s="146"/>
      <c r="AA62" s="146"/>
    </row>
    <row r="63" spans="1:27">
      <c r="A63" s="146"/>
      <c r="B63" s="146"/>
      <c r="C63" s="145"/>
      <c r="D63" s="145"/>
      <c r="E63" s="145"/>
      <c r="F63" s="146"/>
      <c r="G63" s="146"/>
      <c r="H63" s="146"/>
      <c r="I63" s="146"/>
      <c r="J63" s="146"/>
      <c r="K63" s="146"/>
      <c r="L63" s="146"/>
      <c r="M63" s="146"/>
      <c r="N63" s="146"/>
      <c r="O63" s="146"/>
      <c r="P63" s="146"/>
      <c r="Q63" s="146"/>
      <c r="R63" s="146"/>
      <c r="S63" s="146"/>
      <c r="T63" s="145"/>
      <c r="U63" s="145"/>
      <c r="V63" s="145"/>
      <c r="W63" s="146"/>
      <c r="X63" s="145"/>
      <c r="Y63" s="145"/>
      <c r="Z63" s="146"/>
      <c r="AA63" s="146"/>
    </row>
    <row r="64" spans="1:27">
      <c r="A64" s="146"/>
      <c r="B64" s="146"/>
      <c r="C64" s="145"/>
      <c r="D64" s="145"/>
      <c r="E64" s="145"/>
      <c r="F64" s="146"/>
      <c r="G64" s="146"/>
      <c r="H64" s="146"/>
      <c r="I64" s="146"/>
      <c r="J64" s="146"/>
      <c r="K64" s="146"/>
      <c r="L64" s="146"/>
      <c r="M64" s="146"/>
      <c r="N64" s="146"/>
      <c r="O64" s="146"/>
      <c r="P64" s="146"/>
      <c r="Q64" s="146"/>
      <c r="R64" s="146"/>
      <c r="S64" s="146"/>
      <c r="T64" s="145"/>
      <c r="U64" s="145"/>
      <c r="V64" s="145"/>
      <c r="W64" s="146"/>
      <c r="X64" s="145"/>
      <c r="Y64" s="145"/>
      <c r="Z64" s="146"/>
      <c r="AA64" s="146"/>
    </row>
    <row r="65" spans="1:27">
      <c r="A65" s="146"/>
      <c r="B65" s="146"/>
      <c r="C65" s="145"/>
      <c r="D65" s="145"/>
      <c r="E65" s="145"/>
      <c r="F65" s="146"/>
      <c r="G65" s="146"/>
      <c r="H65" s="146"/>
      <c r="I65" s="146"/>
      <c r="J65" s="146"/>
      <c r="K65" s="146"/>
      <c r="L65" s="146"/>
      <c r="M65" s="146"/>
      <c r="N65" s="146"/>
      <c r="O65" s="146"/>
      <c r="P65" s="146"/>
      <c r="Q65" s="146"/>
      <c r="R65" s="146"/>
      <c r="S65" s="146"/>
      <c r="T65" s="145"/>
      <c r="U65" s="145"/>
      <c r="V65" s="145"/>
      <c r="W65" s="146"/>
      <c r="X65" s="145"/>
      <c r="Y65" s="145"/>
      <c r="Z65" s="146"/>
      <c r="AA65" s="146"/>
    </row>
    <row r="66" spans="1:27">
      <c r="A66" s="146"/>
      <c r="B66" s="146"/>
      <c r="C66" s="145"/>
      <c r="D66" s="145"/>
      <c r="E66" s="145"/>
      <c r="F66" s="146"/>
      <c r="G66" s="146"/>
      <c r="H66" s="146"/>
      <c r="I66" s="146"/>
      <c r="J66" s="146"/>
      <c r="K66" s="146"/>
      <c r="L66" s="146"/>
      <c r="M66" s="146"/>
      <c r="N66" s="146"/>
      <c r="O66" s="146"/>
      <c r="P66" s="146"/>
      <c r="Q66" s="146"/>
      <c r="R66" s="146"/>
      <c r="S66" s="146"/>
      <c r="T66" s="145"/>
      <c r="U66" s="145"/>
      <c r="V66" s="145"/>
      <c r="W66" s="146"/>
      <c r="X66" s="145"/>
      <c r="Y66" s="145"/>
      <c r="Z66" s="146"/>
      <c r="AA66" s="146"/>
    </row>
    <row r="67" spans="1:27">
      <c r="A67" s="146"/>
      <c r="B67" s="146"/>
      <c r="C67" s="145"/>
      <c r="D67" s="145"/>
      <c r="E67" s="145"/>
      <c r="F67" s="146"/>
      <c r="G67" s="146"/>
      <c r="H67" s="146"/>
      <c r="I67" s="146"/>
      <c r="J67" s="146"/>
      <c r="K67" s="146"/>
      <c r="L67" s="146"/>
      <c r="M67" s="146"/>
      <c r="N67" s="146"/>
      <c r="O67" s="146"/>
      <c r="P67" s="146"/>
      <c r="Q67" s="146"/>
      <c r="R67" s="146"/>
      <c r="S67" s="146"/>
      <c r="T67" s="145"/>
      <c r="U67" s="145"/>
      <c r="V67" s="145"/>
      <c r="W67" s="146"/>
      <c r="X67" s="145"/>
      <c r="Y67" s="145"/>
      <c r="Z67" s="146"/>
      <c r="AA67" s="146"/>
    </row>
    <row r="68" spans="1:27">
      <c r="A68" s="146"/>
      <c r="B68" s="146"/>
      <c r="C68" s="145"/>
      <c r="D68" s="145"/>
      <c r="E68" s="145"/>
      <c r="F68" s="146"/>
      <c r="G68" s="146"/>
      <c r="H68" s="146"/>
      <c r="I68" s="146"/>
      <c r="J68" s="146"/>
      <c r="K68" s="146"/>
      <c r="L68" s="146"/>
      <c r="M68" s="146"/>
      <c r="N68" s="146"/>
      <c r="O68" s="146"/>
      <c r="P68" s="146"/>
      <c r="Q68" s="146"/>
      <c r="R68" s="146"/>
      <c r="S68" s="146"/>
      <c r="T68" s="145"/>
      <c r="U68" s="145"/>
      <c r="V68" s="145"/>
      <c r="W68" s="146"/>
      <c r="X68" s="145"/>
      <c r="Y68" s="145"/>
      <c r="Z68" s="146"/>
      <c r="AA68" s="146"/>
    </row>
    <row r="69" spans="1:27">
      <c r="A69" s="146"/>
      <c r="B69" s="146"/>
      <c r="C69" s="145"/>
      <c r="D69" s="145"/>
      <c r="E69" s="145"/>
      <c r="F69" s="146"/>
      <c r="G69" s="146"/>
      <c r="H69" s="146"/>
      <c r="I69" s="146"/>
      <c r="J69" s="146"/>
      <c r="K69" s="146"/>
      <c r="L69" s="146"/>
      <c r="M69" s="146"/>
      <c r="N69" s="146"/>
      <c r="O69" s="146"/>
      <c r="P69" s="146"/>
      <c r="Q69" s="146"/>
      <c r="R69" s="146"/>
      <c r="S69" s="146"/>
      <c r="T69" s="145"/>
      <c r="U69" s="145"/>
      <c r="V69" s="145"/>
      <c r="W69" s="146"/>
      <c r="X69" s="146"/>
    </row>
    <row r="70" spans="1:27">
      <c r="A70" s="146"/>
      <c r="B70" s="146"/>
      <c r="C70" s="145"/>
      <c r="D70" s="145"/>
      <c r="E70" s="145"/>
      <c r="F70" s="146"/>
      <c r="G70" s="146"/>
      <c r="H70" s="146"/>
      <c r="I70" s="146"/>
      <c r="J70" s="146"/>
      <c r="K70" s="146"/>
      <c r="L70" s="146"/>
      <c r="M70" s="146"/>
      <c r="N70" s="146"/>
      <c r="O70" s="146"/>
      <c r="P70" s="146"/>
      <c r="Q70" s="146"/>
      <c r="R70" s="146"/>
      <c r="S70" s="146"/>
      <c r="T70" s="145"/>
      <c r="U70" s="145"/>
      <c r="V70" s="145"/>
      <c r="W70" s="146"/>
      <c r="X70" s="146"/>
    </row>
    <row r="71" spans="1:27">
      <c r="A71" s="146"/>
      <c r="F71" s="146"/>
      <c r="G71" s="146"/>
      <c r="H71" s="146"/>
      <c r="I71" s="146"/>
      <c r="J71" s="146"/>
      <c r="K71" s="146"/>
      <c r="L71" s="146"/>
      <c r="M71" s="146"/>
      <c r="N71" s="146"/>
      <c r="O71" s="146"/>
      <c r="P71" s="146"/>
      <c r="Q71" s="146"/>
      <c r="R71" s="146"/>
      <c r="S71" s="146"/>
      <c r="T71" s="145"/>
      <c r="U71" s="145"/>
      <c r="V71" s="145"/>
      <c r="W71" s="146"/>
      <c r="X71" s="146"/>
    </row>
    <row r="72" spans="1:27">
      <c r="A72" s="146"/>
    </row>
  </sheetData>
  <mergeCells count="3">
    <mergeCell ref="B3:F3"/>
    <mergeCell ref="C49:F49"/>
    <mergeCell ref="C50:F50"/>
  </mergeCells>
  <phoneticPr fontId="37" type="noConversion"/>
  <pageMargins left="0.39027777777777778" right="0.50972222222222219" top="0.50972222222222219" bottom="0.50972222222222219" header="0.51180555555555551" footer="0.51180555555555551"/>
  <pageSetup paperSize="9" firstPageNumber="0"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AU35"/>
  <sheetViews>
    <sheetView workbookViewId="0">
      <selection activeCell="F10" sqref="F10"/>
    </sheetView>
  </sheetViews>
  <sheetFormatPr defaultRowHeight="12.75"/>
  <cols>
    <col min="1" max="1" width="4.1640625" customWidth="1"/>
    <col min="2" max="2" width="29.33203125" customWidth="1"/>
    <col min="3" max="3" width="17.6640625" customWidth="1"/>
    <col min="4" max="4" width="17.33203125" customWidth="1"/>
    <col min="5" max="5" width="22.1640625" customWidth="1"/>
    <col min="6" max="6" width="23" customWidth="1"/>
    <col min="7" max="7" width="6" customWidth="1"/>
    <col min="8" max="8" width="43.1640625" customWidth="1"/>
    <col min="9" max="9" width="14.1640625" customWidth="1"/>
    <col min="10" max="10" width="10" customWidth="1"/>
    <col min="11" max="11" width="33" customWidth="1"/>
    <col min="12" max="14" width="12.1640625" customWidth="1"/>
    <col min="15" max="15" width="12.33203125" customWidth="1"/>
  </cols>
  <sheetData>
    <row r="1" spans="1:47" s="144" customFormat="1" ht="14.25">
      <c r="A1" s="138"/>
      <c r="B1" s="373" t="s">
        <v>443</v>
      </c>
      <c r="C1" s="138"/>
      <c r="D1" s="967" t="str">
        <f>Ogolne!D5</f>
        <v>Bydgoszcz</v>
      </c>
      <c r="E1" s="967"/>
      <c r="F1" s="967"/>
      <c r="G1" s="967"/>
      <c r="H1" s="967"/>
      <c r="I1" s="374"/>
      <c r="J1" s="374"/>
      <c r="K1" s="140"/>
      <c r="L1" s="141"/>
      <c r="M1" s="140"/>
      <c r="N1" s="140"/>
      <c r="O1" s="140"/>
      <c r="P1" s="140"/>
      <c r="Q1" s="140"/>
      <c r="R1" s="140"/>
      <c r="S1" s="140"/>
      <c r="T1" s="140"/>
      <c r="U1" s="140"/>
      <c r="V1" s="140"/>
      <c r="W1" s="140"/>
      <c r="X1" s="138"/>
      <c r="Y1" s="138"/>
      <c r="Z1" s="138"/>
      <c r="AA1" s="138"/>
      <c r="AB1" s="138"/>
      <c r="AC1" s="138"/>
      <c r="AD1" s="138"/>
      <c r="AE1" s="138"/>
      <c r="AF1" s="142"/>
      <c r="AG1" s="142"/>
      <c r="AH1" s="142"/>
      <c r="AI1" s="142"/>
      <c r="AJ1" s="142"/>
      <c r="AK1" s="142"/>
      <c r="AL1" s="138"/>
      <c r="AM1" s="143"/>
      <c r="AN1" s="138"/>
      <c r="AO1" s="138"/>
      <c r="AP1" s="138"/>
      <c r="AQ1" s="138"/>
      <c r="AR1" s="138"/>
      <c r="AS1" s="138"/>
      <c r="AT1" s="138"/>
      <c r="AU1" s="138"/>
    </row>
    <row r="2" spans="1:47">
      <c r="A2" s="146"/>
      <c r="B2" s="146"/>
      <c r="C2" s="146"/>
      <c r="D2" s="146"/>
      <c r="E2" s="146"/>
      <c r="F2" s="146"/>
      <c r="G2" s="146"/>
      <c r="H2" s="146"/>
      <c r="I2" s="146"/>
      <c r="J2" s="146"/>
      <c r="K2" s="146"/>
      <c r="L2" s="146"/>
      <c r="M2" s="146"/>
      <c r="N2" s="146"/>
      <c r="O2" s="146"/>
      <c r="P2" s="146"/>
      <c r="Q2" s="146"/>
      <c r="R2" s="146"/>
      <c r="S2" s="146"/>
      <c r="T2" s="146"/>
      <c r="U2" s="146"/>
      <c r="V2" s="146"/>
      <c r="W2" s="146"/>
      <c r="X2" s="146"/>
    </row>
    <row r="3" spans="1:47" ht="27.75" customHeight="1">
      <c r="A3" s="146"/>
      <c r="B3" s="934" t="s">
        <v>536</v>
      </c>
      <c r="C3" s="934"/>
      <c r="D3" s="934"/>
      <c r="E3" s="934"/>
      <c r="F3" s="934"/>
      <c r="G3" s="934"/>
      <c r="H3" s="934"/>
      <c r="I3" s="281"/>
      <c r="J3" s="146"/>
      <c r="P3" s="146"/>
      <c r="Q3" s="146"/>
      <c r="R3" s="146"/>
      <c r="S3" s="146"/>
      <c r="T3" s="146"/>
      <c r="U3" s="146"/>
      <c r="V3" s="146"/>
      <c r="W3" s="146"/>
      <c r="X3" s="146"/>
    </row>
    <row r="4" spans="1:47" ht="15.75">
      <c r="A4" s="146"/>
      <c r="B4" s="375"/>
      <c r="C4" s="149" t="s">
        <v>538</v>
      </c>
      <c r="D4" s="376">
        <f>comyear</f>
        <v>2005</v>
      </c>
      <c r="E4" s="152"/>
      <c r="F4" s="146"/>
      <c r="G4" s="146"/>
      <c r="H4" s="146"/>
      <c r="I4" s="281"/>
      <c r="J4" s="146"/>
      <c r="P4" s="146"/>
      <c r="Q4" s="146"/>
      <c r="R4" s="146"/>
      <c r="S4" s="146"/>
      <c r="T4" s="146"/>
      <c r="U4" s="146"/>
      <c r="V4" s="146"/>
      <c r="W4" s="146"/>
      <c r="X4" s="146"/>
    </row>
    <row r="5" spans="1:47" ht="14.25">
      <c r="A5" s="146"/>
      <c r="B5" s="152"/>
      <c r="C5" s="152"/>
      <c r="D5" s="152"/>
      <c r="E5" s="152"/>
      <c r="F5" s="146"/>
      <c r="G5" s="146"/>
      <c r="H5" s="146"/>
      <c r="I5" s="281"/>
      <c r="J5" s="146"/>
      <c r="P5" s="146"/>
      <c r="Q5" s="146"/>
      <c r="R5" s="146"/>
      <c r="S5" s="146"/>
      <c r="T5" s="146"/>
      <c r="U5" s="146"/>
      <c r="V5" s="146"/>
      <c r="W5" s="146"/>
      <c r="X5" s="146"/>
    </row>
    <row r="6" spans="1:47" ht="12.75" customHeight="1">
      <c r="A6" s="146"/>
      <c r="B6" s="377" t="s">
        <v>442</v>
      </c>
      <c r="C6" s="968" t="s">
        <v>525</v>
      </c>
      <c r="D6" s="968"/>
      <c r="E6" s="968"/>
      <c r="F6" s="968"/>
      <c r="G6" s="968"/>
      <c r="H6" s="968"/>
      <c r="I6" s="281"/>
      <c r="J6" s="146"/>
      <c r="P6" s="146"/>
      <c r="Q6" s="146"/>
      <c r="R6" s="146"/>
      <c r="S6" s="146"/>
      <c r="T6" s="146"/>
      <c r="U6" s="146"/>
      <c r="V6" s="146"/>
      <c r="W6" s="146"/>
      <c r="X6" s="146"/>
    </row>
    <row r="7" spans="1:47" ht="12.75" customHeight="1">
      <c r="A7" s="146"/>
      <c r="B7" s="377" t="s">
        <v>523</v>
      </c>
      <c r="C7" s="969" t="s">
        <v>524</v>
      </c>
      <c r="D7" s="969"/>
      <c r="E7" s="969"/>
      <c r="F7" s="969"/>
      <c r="G7" s="969"/>
      <c r="H7" s="969"/>
      <c r="I7" s="281"/>
      <c r="J7" s="146"/>
      <c r="P7" s="146"/>
      <c r="Q7" s="146"/>
      <c r="R7" s="146"/>
      <c r="S7" s="146"/>
      <c r="T7" s="146"/>
      <c r="U7" s="146"/>
      <c r="V7" s="146"/>
      <c r="W7" s="146"/>
      <c r="X7" s="146"/>
    </row>
    <row r="8" spans="1:47" ht="14.25">
      <c r="A8" s="146"/>
      <c r="B8" s="146"/>
      <c r="C8" s="146"/>
      <c r="D8" s="146"/>
      <c r="E8" s="146"/>
      <c r="F8" s="146"/>
      <c r="G8" s="146"/>
      <c r="H8" s="146"/>
      <c r="I8" s="281"/>
      <c r="J8" s="146"/>
      <c r="P8" s="146"/>
      <c r="Q8" s="146"/>
      <c r="R8" s="146"/>
      <c r="S8" s="146"/>
      <c r="T8" s="146"/>
      <c r="U8" s="146"/>
      <c r="V8" s="146"/>
      <c r="W8" s="146"/>
      <c r="X8" s="146"/>
    </row>
    <row r="9" spans="1:47" s="384" customFormat="1" ht="25.5">
      <c r="A9" s="378"/>
      <c r="B9" s="379" t="s">
        <v>526</v>
      </c>
      <c r="C9" s="380" t="s">
        <v>527</v>
      </c>
      <c r="D9" s="380" t="s">
        <v>529</v>
      </c>
      <c r="E9" s="381" t="s">
        <v>531</v>
      </c>
      <c r="F9" s="380" t="s">
        <v>412</v>
      </c>
      <c r="G9" s="378"/>
      <c r="H9" s="382" t="s">
        <v>379</v>
      </c>
      <c r="I9" s="383"/>
      <c r="J9" s="378"/>
      <c r="P9" s="378"/>
      <c r="Q9" s="378"/>
      <c r="R9" s="378"/>
      <c r="S9" s="378"/>
      <c r="T9" s="378"/>
      <c r="U9" s="378"/>
      <c r="V9" s="378"/>
      <c r="W9" s="378"/>
      <c r="X9" s="378"/>
    </row>
    <row r="10" spans="1:47" s="10" customFormat="1" ht="14.25">
      <c r="A10" s="809"/>
      <c r="B10" s="385" t="s">
        <v>349</v>
      </c>
      <c r="C10" s="386">
        <v>234520800</v>
      </c>
      <c r="D10" s="387" t="s">
        <v>44</v>
      </c>
      <c r="E10" s="388">
        <f>C10/1000</f>
        <v>234520.8</v>
      </c>
      <c r="F10" s="389">
        <f>C10*(HLOOKUP(Ogolne!$D$6,'Wskazniki emisji elektrycznosc'!$B$8:$G$29,Ogolne!$E$7,TRUE))/1000</f>
        <v>230299.42559999999</v>
      </c>
      <c r="G10" s="8"/>
      <c r="H10" s="296"/>
      <c r="I10" s="281"/>
      <c r="J10" s="8"/>
      <c r="P10" s="8"/>
      <c r="Q10" s="8"/>
      <c r="R10" s="8"/>
      <c r="S10" s="8"/>
      <c r="T10" s="8"/>
      <c r="U10" s="8"/>
      <c r="V10" s="8"/>
      <c r="W10" s="8"/>
      <c r="X10" s="8"/>
    </row>
    <row r="11" spans="1:47" s="10" customFormat="1" ht="14.25">
      <c r="A11" s="809"/>
      <c r="B11" s="385" t="s">
        <v>514</v>
      </c>
      <c r="C11" s="386">
        <v>43466000</v>
      </c>
      <c r="D11" s="387" t="s">
        <v>46</v>
      </c>
      <c r="E11" s="388">
        <f>C11*'Wskazniki emisji paliw'!H26</f>
        <v>435750.13597319997</v>
      </c>
      <c r="F11" s="389">
        <f>C11*'Wskazniki emisji paliw'!M26</f>
        <v>315228.45709122333</v>
      </c>
      <c r="G11" s="8"/>
      <c r="H11" s="296"/>
      <c r="I11" s="281"/>
      <c r="J11" s="8"/>
      <c r="P11" s="8"/>
      <c r="Q11" s="8"/>
      <c r="R11" s="8"/>
      <c r="S11" s="8"/>
      <c r="T11" s="8"/>
      <c r="U11" s="8"/>
      <c r="V11" s="8"/>
      <c r="W11" s="8"/>
      <c r="X11" s="8"/>
    </row>
    <row r="12" spans="1:47" s="10" customFormat="1" ht="14.25">
      <c r="A12" s="809"/>
      <c r="B12" s="385" t="s">
        <v>398</v>
      </c>
      <c r="C12" s="386">
        <v>0</v>
      </c>
      <c r="D12" s="387" t="s">
        <v>46</v>
      </c>
      <c r="E12" s="388">
        <f>C12*'Wskazniki emisji paliw'!H27</f>
        <v>0</v>
      </c>
      <c r="F12" s="389">
        <f>C12*'Wskazniki emisji paliw'!M27</f>
        <v>0</v>
      </c>
      <c r="G12" s="8"/>
      <c r="H12" s="296"/>
      <c r="I12" s="281"/>
      <c r="J12" s="8"/>
      <c r="P12" s="8"/>
      <c r="Q12" s="8"/>
      <c r="R12" s="8"/>
      <c r="S12" s="8"/>
      <c r="T12" s="8"/>
      <c r="U12" s="8"/>
      <c r="V12" s="8"/>
      <c r="W12" s="8"/>
      <c r="X12" s="8"/>
    </row>
    <row r="13" spans="1:47" s="10" customFormat="1" ht="14.25">
      <c r="A13" s="809"/>
      <c r="B13" s="385" t="s">
        <v>513</v>
      </c>
      <c r="C13" s="386">
        <v>909740.52</v>
      </c>
      <c r="D13" s="387" t="s">
        <v>45</v>
      </c>
      <c r="E13" s="388">
        <f>C13</f>
        <v>909740.52</v>
      </c>
      <c r="F13" s="390">
        <f>C13*'Wskazniki emisji paliw'!K35</f>
        <v>294755.92848</v>
      </c>
      <c r="G13" s="8"/>
      <c r="H13" s="296"/>
      <c r="I13" s="281"/>
      <c r="J13" s="8"/>
      <c r="P13" s="8"/>
      <c r="Q13" s="8"/>
      <c r="R13" s="8"/>
      <c r="S13" s="8"/>
      <c r="T13" s="8"/>
      <c r="U13" s="8"/>
      <c r="V13" s="8"/>
      <c r="W13" s="8"/>
      <c r="X13" s="8"/>
    </row>
    <row r="14" spans="1:47" s="10" customFormat="1" ht="14.25">
      <c r="A14" s="809"/>
      <c r="B14" s="385" t="s">
        <v>465</v>
      </c>
      <c r="C14" s="386">
        <v>2486000</v>
      </c>
      <c r="D14" s="387" t="s">
        <v>47</v>
      </c>
      <c r="E14" s="388">
        <f>C14*'Wskazniki emisji paliw'!H17</f>
        <v>27753.649805199992</v>
      </c>
      <c r="F14" s="390">
        <f>C14*'Wskazniki emisji paliw'!L17</f>
        <v>6887.0575085399996</v>
      </c>
      <c r="G14" s="8"/>
      <c r="H14" s="296"/>
      <c r="I14" s="281"/>
      <c r="J14" s="8"/>
      <c r="P14" s="8"/>
      <c r="Q14" s="8"/>
      <c r="R14" s="8"/>
      <c r="S14" s="8"/>
      <c r="T14" s="8"/>
      <c r="U14" s="8"/>
      <c r="V14" s="8"/>
      <c r="W14" s="8"/>
      <c r="X14" s="8"/>
    </row>
    <row r="15" spans="1:47" s="10" customFormat="1" ht="14.25">
      <c r="A15" s="809"/>
      <c r="B15" s="385" t="s">
        <v>415</v>
      </c>
      <c r="C15" s="386">
        <v>0</v>
      </c>
      <c r="D15" s="387" t="s">
        <v>47</v>
      </c>
      <c r="E15" s="388">
        <f>C15*'Wskazniki emisji paliw'!H18</f>
        <v>0</v>
      </c>
      <c r="F15" s="390">
        <f>C15*'Wskazniki emisji paliw'!L18</f>
        <v>0</v>
      </c>
      <c r="G15" s="8"/>
      <c r="H15" s="296"/>
      <c r="I15" s="281"/>
      <c r="J15" s="8"/>
      <c r="P15" s="8"/>
      <c r="Q15" s="8"/>
      <c r="R15" s="8"/>
      <c r="S15" s="8"/>
      <c r="T15" s="8"/>
      <c r="U15" s="8"/>
      <c r="V15" s="8"/>
      <c r="W15" s="8"/>
      <c r="X15" s="8"/>
    </row>
    <row r="16" spans="1:47" s="10" customFormat="1" ht="14.25">
      <c r="A16" s="809"/>
      <c r="B16" s="385" t="s">
        <v>540</v>
      </c>
      <c r="C16" s="386">
        <v>0</v>
      </c>
      <c r="D16" s="387" t="s">
        <v>47</v>
      </c>
      <c r="E16" s="388">
        <f>C16*'Wskazniki emisji paliw'!H22</f>
        <v>0</v>
      </c>
      <c r="F16" s="390">
        <f>C16*'Wskazniki emisji paliw'!L22</f>
        <v>0</v>
      </c>
      <c r="G16" s="8"/>
      <c r="H16" s="296"/>
      <c r="I16" s="281"/>
      <c r="J16" s="8"/>
      <c r="P16" s="8"/>
      <c r="Q16" s="8"/>
      <c r="R16" s="8"/>
      <c r="S16" s="8"/>
      <c r="T16" s="8"/>
      <c r="U16" s="8"/>
      <c r="V16" s="8"/>
      <c r="W16" s="8"/>
      <c r="X16" s="8"/>
    </row>
    <row r="17" spans="1:26" s="10" customFormat="1" ht="14.25">
      <c r="A17" s="809"/>
      <c r="B17" s="391" t="s">
        <v>354</v>
      </c>
      <c r="C17" s="386">
        <v>66628</v>
      </c>
      <c r="D17" s="392" t="s">
        <v>519</v>
      </c>
      <c r="E17" s="388">
        <f>C17*'Wskazniki emisji paliw'!H10</f>
        <v>471581.9504032</v>
      </c>
      <c r="F17" s="389">
        <f>C17*'Wskazniki emisji paliw'!N10</f>
        <v>159582.05536</v>
      </c>
      <c r="G17" s="8"/>
      <c r="H17" s="393"/>
      <c r="I17" s="394"/>
      <c r="J17" s="8"/>
      <c r="P17" s="8"/>
      <c r="Q17" s="8"/>
      <c r="R17" s="8"/>
      <c r="S17" s="8"/>
      <c r="T17" s="8"/>
      <c r="U17" s="8"/>
      <c r="V17" s="8"/>
      <c r="W17" s="8"/>
      <c r="X17" s="8"/>
      <c r="Y17" s="8"/>
      <c r="Z17" s="8"/>
    </row>
    <row r="18" spans="1:26" s="10" customFormat="1" ht="14.25">
      <c r="A18" s="809"/>
      <c r="B18" s="391" t="s">
        <v>516</v>
      </c>
      <c r="C18" s="386">
        <v>0</v>
      </c>
      <c r="D18" s="392" t="s">
        <v>519</v>
      </c>
      <c r="E18" s="388">
        <f>C18*'Wskazniki emisji paliw'!H11</f>
        <v>0</v>
      </c>
      <c r="F18" s="389">
        <f>C18*'Wskazniki emisji paliw'!N11</f>
        <v>0</v>
      </c>
      <c r="G18" s="8"/>
      <c r="H18" s="393"/>
      <c r="I18" s="394"/>
      <c r="J18" s="8"/>
      <c r="P18" s="8"/>
      <c r="Q18" s="8"/>
      <c r="R18" s="8"/>
      <c r="S18" s="8"/>
      <c r="T18" s="8"/>
      <c r="U18" s="8"/>
      <c r="V18" s="8"/>
      <c r="W18" s="8"/>
      <c r="X18" s="8"/>
      <c r="Y18" s="8"/>
      <c r="Z18" s="8"/>
    </row>
    <row r="19" spans="1:26" s="10" customFormat="1" ht="14.25">
      <c r="A19" s="809"/>
      <c r="B19" s="391" t="s">
        <v>419</v>
      </c>
      <c r="C19" s="386">
        <v>0</v>
      </c>
      <c r="D19" s="392" t="s">
        <v>47</v>
      </c>
      <c r="E19" s="388">
        <f>C19*'Wskazniki emisji paliw'!H21</f>
        <v>0</v>
      </c>
      <c r="F19" s="390">
        <f>C19*'Wskazniki emisji paliw'!L$21</f>
        <v>0</v>
      </c>
      <c r="G19" s="8"/>
      <c r="H19" s="296"/>
      <c r="I19" s="281"/>
      <c r="J19" s="8"/>
      <c r="P19" s="8"/>
      <c r="Q19" s="8"/>
      <c r="R19" s="8"/>
      <c r="S19" s="8"/>
      <c r="T19" s="8"/>
      <c r="U19" s="8"/>
      <c r="V19" s="8"/>
      <c r="W19" s="8"/>
      <c r="X19" s="8"/>
      <c r="Y19" s="8"/>
      <c r="Z19" s="8"/>
    </row>
    <row r="20" spans="1:26" s="10" customFormat="1" ht="14.25">
      <c r="A20" s="809"/>
      <c r="B20" s="391" t="s">
        <v>358</v>
      </c>
      <c r="C20" s="386">
        <v>2967</v>
      </c>
      <c r="D20" s="392" t="s">
        <v>519</v>
      </c>
      <c r="E20" s="395">
        <f>C20*'Wskazniki emisji paliw'!H13</f>
        <v>16483.465199999999</v>
      </c>
      <c r="F20" s="396">
        <f>C20*'Wskazniki emisji paliw'!N13</f>
        <v>2.01756</v>
      </c>
      <c r="G20" s="8"/>
      <c r="H20" s="296"/>
      <c r="I20" s="281"/>
      <c r="J20" s="8"/>
      <c r="P20" s="8"/>
      <c r="Q20" s="8"/>
      <c r="R20" s="8"/>
      <c r="S20" s="8"/>
      <c r="T20" s="8"/>
      <c r="U20" s="8"/>
      <c r="V20" s="8"/>
      <c r="W20" s="8"/>
      <c r="X20" s="8"/>
      <c r="Y20" s="8"/>
      <c r="Z20" s="8"/>
    </row>
    <row r="21" spans="1:26" s="10" customFormat="1" ht="15">
      <c r="A21" s="8"/>
      <c r="B21" s="397" t="s">
        <v>440</v>
      </c>
      <c r="C21" s="398"/>
      <c r="D21" s="399"/>
      <c r="E21" s="400">
        <f>SUM(E10:E20)</f>
        <v>2095830.5213816001</v>
      </c>
      <c r="F21" s="401">
        <f>SUM(F10:F20)</f>
        <v>1006754.9415997632</v>
      </c>
      <c r="G21" s="8"/>
      <c r="H21" s="8"/>
      <c r="I21" s="8"/>
      <c r="J21" s="8"/>
      <c r="P21" s="8"/>
      <c r="Q21" s="8"/>
      <c r="R21" s="8"/>
      <c r="S21" s="8"/>
      <c r="T21" s="8"/>
      <c r="U21" s="8"/>
      <c r="V21" s="8"/>
      <c r="W21" s="8"/>
      <c r="X21" s="8"/>
    </row>
    <row r="22" spans="1:26">
      <c r="A22" s="146"/>
      <c r="B22" s="146"/>
      <c r="C22" s="146"/>
      <c r="D22" s="146"/>
      <c r="E22" s="146"/>
      <c r="F22" s="146"/>
      <c r="G22" s="146"/>
      <c r="H22" s="146"/>
      <c r="I22" s="146"/>
      <c r="J22" s="146"/>
      <c r="P22" s="146"/>
      <c r="Q22" s="146"/>
      <c r="R22" s="146"/>
      <c r="S22" s="146"/>
      <c r="T22" s="146"/>
      <c r="U22" s="146"/>
      <c r="V22" s="146"/>
      <c r="W22" s="146"/>
      <c r="X22" s="146"/>
    </row>
    <row r="23" spans="1:26" s="10" customFormat="1" ht="35.25" customHeight="1">
      <c r="A23" s="8"/>
      <c r="B23" s="964" t="s">
        <v>486</v>
      </c>
      <c r="C23" s="964"/>
      <c r="D23" s="402" t="s">
        <v>439</v>
      </c>
      <c r="E23" s="402" t="s">
        <v>532</v>
      </c>
      <c r="F23" s="403" t="s">
        <v>535</v>
      </c>
      <c r="G23" s="8"/>
      <c r="H23" s="8"/>
      <c r="I23" s="8"/>
      <c r="J23" s="8"/>
      <c r="P23" s="8"/>
      <c r="Q23" s="8"/>
      <c r="R23" s="8"/>
      <c r="S23" s="8"/>
      <c r="T23" s="8"/>
      <c r="U23" s="8"/>
      <c r="V23" s="8"/>
      <c r="W23" s="8"/>
    </row>
    <row r="24" spans="1:26" s="10" customFormat="1" ht="14.25" customHeight="1">
      <c r="A24" s="8"/>
      <c r="B24" s="965" t="s">
        <v>533</v>
      </c>
      <c r="C24" s="965"/>
      <c r="D24" s="386">
        <v>366074</v>
      </c>
      <c r="E24" s="404">
        <f>E$21/D24</f>
        <v>5.7251553548779759</v>
      </c>
      <c r="F24" s="405">
        <f>F$21/D24</f>
        <v>2.7501405224073912</v>
      </c>
      <c r="G24" s="8"/>
      <c r="H24" s="8"/>
      <c r="I24" s="8"/>
      <c r="J24" s="8"/>
      <c r="P24" s="8"/>
      <c r="Q24" s="8"/>
      <c r="R24" s="8"/>
      <c r="S24" s="8"/>
      <c r="T24" s="8"/>
      <c r="U24" s="8"/>
      <c r="V24" s="8"/>
      <c r="W24" s="8"/>
    </row>
    <row r="25" spans="1:26" s="10" customFormat="1" ht="14.25" customHeight="1">
      <c r="A25" s="8"/>
      <c r="B25" s="965" t="s">
        <v>534</v>
      </c>
      <c r="C25" s="965"/>
      <c r="D25" s="386">
        <f>D24/4</f>
        <v>91518.5</v>
      </c>
      <c r="E25" s="404">
        <f>E$21/D25</f>
        <v>22.900621419511904</v>
      </c>
      <c r="F25" s="405">
        <f>F$21/D25</f>
        <v>11.000562089629565</v>
      </c>
      <c r="G25" s="477"/>
      <c r="H25" s="477"/>
      <c r="I25" s="8"/>
      <c r="J25" s="8"/>
      <c r="P25" s="8"/>
      <c r="Q25" s="8"/>
      <c r="R25" s="8"/>
      <c r="S25" s="8"/>
      <c r="T25" s="8"/>
      <c r="U25" s="8"/>
      <c r="V25" s="8"/>
      <c r="W25" s="8"/>
    </row>
    <row r="26" spans="1:26" s="10" customFormat="1" ht="14.25">
      <c r="A26" s="8"/>
      <c r="B26" s="966" t="s">
        <v>489</v>
      </c>
      <c r="C26" s="966"/>
      <c r="D26" s="808">
        <v>175.98</v>
      </c>
      <c r="E26" s="404">
        <f>E$21/D26</f>
        <v>11909.481312544609</v>
      </c>
      <c r="F26" s="405">
        <f>F$21/D26</f>
        <v>5720.8486282518652</v>
      </c>
      <c r="G26" s="8"/>
      <c r="H26" s="8"/>
      <c r="I26" s="8"/>
      <c r="J26" s="8"/>
      <c r="P26" s="8"/>
      <c r="Q26" s="8"/>
      <c r="R26" s="8"/>
      <c r="S26" s="8"/>
      <c r="T26" s="8"/>
      <c r="U26" s="8"/>
      <c r="V26" s="8"/>
      <c r="W26" s="8"/>
    </row>
    <row r="27" spans="1:26">
      <c r="A27" s="146"/>
      <c r="B27" s="146"/>
      <c r="C27" s="146"/>
      <c r="D27" s="146"/>
      <c r="E27" s="146"/>
      <c r="F27" s="146"/>
      <c r="G27" s="146"/>
      <c r="H27" s="146"/>
      <c r="I27" s="146"/>
      <c r="J27" s="146"/>
      <c r="P27" s="146"/>
      <c r="Q27" s="146"/>
      <c r="R27" s="146"/>
      <c r="S27" s="146"/>
      <c r="T27" s="146"/>
      <c r="U27" s="146"/>
      <c r="V27" s="146"/>
      <c r="W27" s="146"/>
    </row>
    <row r="28" spans="1:26">
      <c r="A28" s="146"/>
      <c r="B28" s="146"/>
      <c r="C28" s="146"/>
      <c r="D28" s="146"/>
      <c r="E28" s="146"/>
      <c r="F28" s="146"/>
      <c r="G28" s="146"/>
      <c r="H28" s="146"/>
      <c r="I28" s="146"/>
      <c r="J28" s="146"/>
      <c r="P28" s="146"/>
      <c r="Q28" s="146"/>
      <c r="R28" s="146"/>
      <c r="S28" s="146"/>
      <c r="T28" s="146"/>
      <c r="U28" s="146"/>
      <c r="V28" s="146"/>
      <c r="W28" s="146"/>
      <c r="X28" s="146"/>
    </row>
    <row r="29" spans="1:26">
      <c r="A29" s="146"/>
      <c r="B29" s="406" t="s">
        <v>490</v>
      </c>
      <c r="C29" s="406">
        <v>1</v>
      </c>
      <c r="D29" s="963"/>
      <c r="E29" s="963"/>
      <c r="F29" s="963"/>
      <c r="G29" s="963"/>
      <c r="H29" s="963"/>
      <c r="I29" s="407"/>
      <c r="J29" s="146"/>
      <c r="P29" s="146"/>
      <c r="Q29" s="146"/>
      <c r="R29" s="146"/>
      <c r="S29" s="146"/>
      <c r="T29" s="146"/>
      <c r="U29" s="146"/>
      <c r="V29" s="146"/>
      <c r="W29" s="146"/>
      <c r="X29" s="146"/>
    </row>
    <row r="30" spans="1:26">
      <c r="A30" s="146"/>
      <c r="B30" s="145"/>
      <c r="C30" s="406">
        <v>2</v>
      </c>
      <c r="D30" s="963"/>
      <c r="E30" s="963"/>
      <c r="F30" s="963"/>
      <c r="G30" s="963"/>
      <c r="H30" s="963"/>
      <c r="I30" s="407"/>
      <c r="J30" s="146"/>
      <c r="P30" s="146"/>
      <c r="Q30" s="146"/>
      <c r="R30" s="146"/>
      <c r="S30" s="146"/>
      <c r="T30" s="146"/>
      <c r="U30" s="146"/>
      <c r="V30" s="146"/>
      <c r="W30" s="146"/>
      <c r="X30" s="146"/>
    </row>
    <row r="31" spans="1:26">
      <c r="A31" s="146"/>
      <c r="B31" s="145"/>
      <c r="C31" s="406">
        <v>3</v>
      </c>
      <c r="D31" s="963"/>
      <c r="E31" s="963"/>
      <c r="F31" s="963"/>
      <c r="G31" s="963"/>
      <c r="H31" s="963"/>
      <c r="I31" s="407"/>
      <c r="J31" s="146"/>
      <c r="K31" s="146"/>
      <c r="L31" s="146"/>
      <c r="M31" s="146"/>
      <c r="N31" s="146"/>
      <c r="O31" s="146"/>
      <c r="P31" s="146"/>
      <c r="Q31" s="146"/>
      <c r="R31" s="146"/>
      <c r="S31" s="146"/>
      <c r="T31" s="146"/>
      <c r="U31" s="146"/>
      <c r="V31" s="146"/>
      <c r="W31" s="146"/>
      <c r="X31" s="146"/>
    </row>
    <row r="32" spans="1:26">
      <c r="A32" s="146"/>
      <c r="B32" s="146"/>
      <c r="C32" s="408"/>
      <c r="D32" s="146"/>
      <c r="E32" s="146"/>
      <c r="F32" s="146"/>
      <c r="G32" s="146"/>
      <c r="H32" s="146"/>
      <c r="I32" s="146"/>
      <c r="J32" s="146"/>
      <c r="K32" s="146"/>
      <c r="L32" s="146"/>
      <c r="M32" s="146"/>
      <c r="N32" s="146"/>
      <c r="O32" s="146"/>
      <c r="P32" s="146"/>
      <c r="Q32" s="146"/>
      <c r="R32" s="146"/>
      <c r="S32" s="146"/>
      <c r="T32" s="146"/>
      <c r="U32" s="146"/>
      <c r="V32" s="146"/>
      <c r="W32" s="146"/>
      <c r="X32" s="146"/>
    </row>
    <row r="33" spans="1:24">
      <c r="A33" s="146"/>
      <c r="B33" s="146"/>
      <c r="C33" s="408"/>
      <c r="D33" s="146"/>
      <c r="E33" s="146"/>
      <c r="F33" s="146"/>
      <c r="G33" s="146"/>
      <c r="H33" s="146"/>
      <c r="I33" s="146"/>
      <c r="J33" s="146"/>
      <c r="K33" s="146"/>
      <c r="L33" s="146"/>
      <c r="M33" s="146"/>
      <c r="N33" s="146"/>
      <c r="O33" s="146"/>
      <c r="P33" s="146"/>
      <c r="Q33" s="146"/>
      <c r="R33" s="146"/>
      <c r="S33" s="146"/>
      <c r="T33" s="146"/>
      <c r="U33" s="146"/>
      <c r="V33" s="146"/>
      <c r="W33" s="146"/>
      <c r="X33" s="146"/>
    </row>
    <row r="34" spans="1:24">
      <c r="A34" s="146"/>
      <c r="B34" s="146"/>
      <c r="C34" s="408"/>
      <c r="D34" s="146"/>
      <c r="E34" s="146"/>
      <c r="F34" s="146"/>
      <c r="G34" s="146"/>
      <c r="H34" s="146"/>
      <c r="I34" s="146"/>
      <c r="J34" s="146"/>
      <c r="K34" s="146"/>
      <c r="L34" s="146"/>
      <c r="M34" s="146"/>
      <c r="N34" s="146"/>
      <c r="O34" s="146"/>
      <c r="P34" s="146"/>
      <c r="Q34" s="146"/>
      <c r="R34" s="146"/>
      <c r="S34" s="146"/>
      <c r="T34" s="146"/>
      <c r="U34" s="146"/>
      <c r="V34" s="146"/>
      <c r="W34" s="146"/>
      <c r="X34" s="146"/>
    </row>
    <row r="35" spans="1:24">
      <c r="A35" s="146"/>
      <c r="B35" s="146"/>
      <c r="C35" s="146"/>
      <c r="D35" s="146"/>
      <c r="E35" s="146"/>
      <c r="F35" s="146"/>
      <c r="G35" s="146"/>
      <c r="H35" s="146"/>
      <c r="I35" s="146"/>
      <c r="J35" s="146"/>
      <c r="K35" s="146"/>
      <c r="L35" s="146"/>
      <c r="M35" s="146"/>
      <c r="N35" s="146"/>
      <c r="O35" s="146"/>
      <c r="P35" s="146"/>
      <c r="Q35" s="146"/>
      <c r="R35" s="146"/>
      <c r="S35" s="146"/>
      <c r="T35" s="146"/>
      <c r="U35" s="146"/>
      <c r="V35" s="146"/>
      <c r="W35" s="146"/>
      <c r="X35" s="146"/>
    </row>
  </sheetData>
  <mergeCells count="11">
    <mergeCell ref="D30:H30"/>
    <mergeCell ref="D31:H31"/>
    <mergeCell ref="B23:C23"/>
    <mergeCell ref="B24:C24"/>
    <mergeCell ref="B25:C25"/>
    <mergeCell ref="B26:C26"/>
    <mergeCell ref="D1:H1"/>
    <mergeCell ref="B3:H3"/>
    <mergeCell ref="C6:H6"/>
    <mergeCell ref="C7:H7"/>
    <mergeCell ref="D29:H29"/>
  </mergeCells>
  <phoneticPr fontId="37" type="noConversion"/>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AZ43"/>
  <sheetViews>
    <sheetView workbookViewId="0">
      <selection activeCell="B10" sqref="B10:B20"/>
    </sheetView>
  </sheetViews>
  <sheetFormatPr defaultRowHeight="12.75"/>
  <cols>
    <col min="1" max="1" width="4.1640625" customWidth="1"/>
    <col min="2" max="2" width="30.83203125" customWidth="1"/>
    <col min="3" max="3" width="18" customWidth="1"/>
    <col min="4" max="4" width="16.33203125" customWidth="1"/>
    <col min="5" max="5" width="20.33203125" customWidth="1"/>
    <col min="6" max="6" width="23.83203125" customWidth="1"/>
    <col min="7" max="7" width="5" customWidth="1"/>
    <col min="8" max="8" width="47.83203125" customWidth="1"/>
    <col min="11" max="11" width="34.6640625" customWidth="1"/>
    <col min="12" max="12" width="12.83203125" customWidth="1"/>
    <col min="13" max="13" width="14" customWidth="1"/>
    <col min="14" max="14" width="12.1640625" customWidth="1"/>
    <col min="15" max="15" width="14" customWidth="1"/>
  </cols>
  <sheetData>
    <row r="1" spans="1:52" s="144" customFormat="1" ht="14.25">
      <c r="A1" s="138"/>
      <c r="C1" s="139" t="s">
        <v>443</v>
      </c>
      <c r="D1" s="967" t="str">
        <f>Ogolne!D5</f>
        <v>Bydgoszcz</v>
      </c>
      <c r="E1" s="967"/>
      <c r="F1" s="967"/>
      <c r="G1" s="967"/>
      <c r="H1" s="967"/>
      <c r="I1" s="374"/>
      <c r="J1" s="140"/>
      <c r="K1" s="140"/>
      <c r="L1" s="140"/>
      <c r="M1" s="140"/>
      <c r="N1" s="140"/>
      <c r="O1" s="140"/>
      <c r="P1" s="140"/>
      <c r="Q1" s="141"/>
      <c r="R1" s="140"/>
      <c r="S1" s="140"/>
      <c r="T1" s="140"/>
      <c r="U1" s="140"/>
      <c r="V1" s="140"/>
      <c r="W1" s="140"/>
      <c r="X1" s="140"/>
      <c r="Y1" s="140"/>
      <c r="Z1" s="140"/>
      <c r="AA1" s="140"/>
      <c r="AB1" s="140"/>
      <c r="AC1" s="138"/>
      <c r="AD1" s="138"/>
      <c r="AE1" s="138"/>
      <c r="AF1" s="138"/>
      <c r="AG1" s="138"/>
      <c r="AH1" s="138"/>
      <c r="AI1" s="138"/>
      <c r="AJ1" s="138"/>
      <c r="AK1" s="142"/>
      <c r="AL1" s="142"/>
      <c r="AM1" s="142"/>
      <c r="AN1" s="142"/>
      <c r="AO1" s="142"/>
      <c r="AP1" s="142"/>
      <c r="AQ1" s="138"/>
      <c r="AR1" s="143"/>
      <c r="AS1" s="138"/>
      <c r="AT1" s="138"/>
      <c r="AU1" s="138"/>
      <c r="AV1" s="138"/>
      <c r="AW1" s="138"/>
      <c r="AX1" s="138"/>
      <c r="AY1" s="138"/>
      <c r="AZ1" s="138"/>
    </row>
    <row r="2" spans="1:52">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row>
    <row r="3" spans="1:52" ht="29.1" customHeight="1">
      <c r="A3" s="146"/>
      <c r="B3" s="934" t="s">
        <v>537</v>
      </c>
      <c r="C3" s="934"/>
      <c r="D3" s="934"/>
      <c r="E3" s="934"/>
      <c r="F3" s="934"/>
      <c r="G3" s="934"/>
      <c r="H3" s="934"/>
      <c r="I3" s="146"/>
      <c r="J3" s="146"/>
      <c r="P3" s="146"/>
      <c r="Q3" s="146"/>
      <c r="R3" s="146"/>
      <c r="S3" s="146"/>
      <c r="T3" s="146"/>
      <c r="U3" s="146"/>
      <c r="V3" s="146"/>
      <c r="W3" s="146"/>
      <c r="X3" s="146"/>
      <c r="Y3" s="146"/>
      <c r="Z3" s="146"/>
      <c r="AA3" s="146"/>
      <c r="AB3" s="146"/>
    </row>
    <row r="4" spans="1:52" ht="15.75">
      <c r="A4" s="146"/>
      <c r="B4" s="375"/>
      <c r="C4" s="149" t="s">
        <v>538</v>
      </c>
      <c r="D4" s="376">
        <f>comyear</f>
        <v>2005</v>
      </c>
      <c r="E4" s="152"/>
      <c r="F4" s="146"/>
      <c r="G4" s="146"/>
      <c r="H4" s="146"/>
      <c r="I4" s="146"/>
      <c r="J4" s="146"/>
      <c r="P4" s="146"/>
      <c r="Q4" s="146"/>
      <c r="R4" s="146"/>
      <c r="S4" s="146"/>
      <c r="T4" s="146"/>
      <c r="U4" s="146"/>
      <c r="V4" s="146"/>
      <c r="W4" s="146"/>
      <c r="X4" s="146"/>
      <c r="Y4" s="146"/>
      <c r="Z4" s="146"/>
      <c r="AA4" s="146"/>
      <c r="AB4" s="146"/>
    </row>
    <row r="5" spans="1:52">
      <c r="A5" s="146"/>
      <c r="B5" s="152"/>
      <c r="C5" s="152"/>
      <c r="D5" s="152"/>
      <c r="E5" s="152"/>
      <c r="F5" s="146"/>
      <c r="G5" s="146"/>
      <c r="H5" s="146"/>
      <c r="I5" s="146"/>
      <c r="J5" s="146"/>
      <c r="P5" s="146"/>
      <c r="Q5" s="146"/>
      <c r="R5" s="146"/>
      <c r="S5" s="146"/>
      <c r="T5" s="146"/>
      <c r="U5" s="146"/>
      <c r="V5" s="146"/>
      <c r="W5" s="146"/>
      <c r="X5" s="146"/>
      <c r="Y5" s="146"/>
      <c r="Z5" s="146"/>
      <c r="AA5" s="146"/>
      <c r="AB5" s="146"/>
    </row>
    <row r="6" spans="1:52" s="10" customFormat="1" ht="26.1" customHeight="1">
      <c r="A6" s="8"/>
      <c r="B6" s="409" t="s">
        <v>442</v>
      </c>
      <c r="C6" s="970" t="s">
        <v>539</v>
      </c>
      <c r="D6" s="970"/>
      <c r="E6" s="970"/>
      <c r="F6" s="970"/>
      <c r="G6" s="970"/>
      <c r="H6" s="970"/>
      <c r="I6" s="8"/>
      <c r="J6" s="8"/>
      <c r="P6" s="8"/>
      <c r="Q6" s="8"/>
      <c r="R6" s="8"/>
      <c r="S6" s="8"/>
      <c r="T6" s="8"/>
      <c r="U6" s="8"/>
      <c r="V6" s="8"/>
      <c r="W6" s="8"/>
      <c r="X6" s="8"/>
      <c r="Y6" s="8"/>
      <c r="Z6" s="8"/>
      <c r="AA6" s="8"/>
      <c r="AB6" s="8"/>
    </row>
    <row r="7" spans="1:52">
      <c r="C7" s="810"/>
      <c r="D7" s="810"/>
      <c r="E7" s="810"/>
      <c r="F7" s="810"/>
      <c r="G7" s="810"/>
      <c r="H7" s="810"/>
      <c r="I7" s="810"/>
    </row>
    <row r="8" spans="1:52">
      <c r="A8" s="146"/>
      <c r="B8" s="146"/>
      <c r="C8" s="146"/>
      <c r="D8" s="146"/>
      <c r="E8" s="146"/>
      <c r="F8" s="146"/>
      <c r="G8" s="146"/>
      <c r="H8" s="146"/>
      <c r="I8" s="146"/>
      <c r="J8" s="146"/>
      <c r="P8" s="146"/>
      <c r="Q8" s="146"/>
      <c r="R8" s="146"/>
      <c r="S8" s="146"/>
      <c r="T8" s="146"/>
      <c r="U8" s="146"/>
      <c r="V8" s="146"/>
      <c r="W8" s="146"/>
      <c r="X8" s="146"/>
      <c r="Y8" s="146"/>
      <c r="Z8" s="146"/>
      <c r="AA8" s="146"/>
      <c r="AB8" s="146"/>
    </row>
    <row r="9" spans="1:52" s="384" customFormat="1" ht="25.5">
      <c r="A9" s="378"/>
      <c r="B9" s="379" t="s">
        <v>526</v>
      </c>
      <c r="C9" s="380" t="s">
        <v>527</v>
      </c>
      <c r="D9" s="380" t="s">
        <v>529</v>
      </c>
      <c r="E9" s="381" t="s">
        <v>531</v>
      </c>
      <c r="F9" s="380" t="s">
        <v>412</v>
      </c>
      <c r="G9" s="378"/>
      <c r="H9" s="382" t="s">
        <v>379</v>
      </c>
      <c r="I9" s="383"/>
      <c r="J9" s="378"/>
      <c r="P9" s="378"/>
      <c r="Q9" s="378"/>
      <c r="R9" s="378"/>
      <c r="S9" s="378"/>
      <c r="T9" s="378"/>
      <c r="U9" s="378"/>
      <c r="V9" s="378"/>
      <c r="W9" s="378"/>
      <c r="X9" s="378"/>
    </row>
    <row r="10" spans="1:52" s="10" customFormat="1" ht="14.25">
      <c r="A10" s="8"/>
      <c r="B10" s="385" t="s">
        <v>349</v>
      </c>
      <c r="C10" s="386">
        <f>227696000-'Sam-Podsumowanie'!C27</f>
        <v>137434670.88300002</v>
      </c>
      <c r="D10" s="387" t="s">
        <v>44</v>
      </c>
      <c r="E10" s="388">
        <f>C10/1000</f>
        <v>137434.67088300001</v>
      </c>
      <c r="F10" s="389">
        <f>C10*(HLOOKUP(Ogolne!$D$6,'Wskazniki emisji elektrycznosc'!$B$8:$G$29,Ogolne!$E$7,TRUE))/1000</f>
        <v>134960.84680710602</v>
      </c>
      <c r="G10" s="8"/>
      <c r="H10" s="296"/>
      <c r="I10" s="281"/>
      <c r="J10" s="8"/>
      <c r="P10" s="8"/>
      <c r="Q10" s="8"/>
      <c r="R10" s="8"/>
      <c r="S10" s="8"/>
      <c r="T10" s="8"/>
      <c r="U10" s="8"/>
      <c r="V10" s="8"/>
      <c r="W10" s="8"/>
      <c r="X10" s="8"/>
    </row>
    <row r="11" spans="1:52" s="10" customFormat="1" ht="14.25">
      <c r="A11" s="809"/>
      <c r="B11" s="385" t="s">
        <v>514</v>
      </c>
      <c r="C11" s="386">
        <f>13062800-'Sam-Podsumowanie'!C29</f>
        <v>11439273.031682646</v>
      </c>
      <c r="D11" s="387" t="s">
        <v>46</v>
      </c>
      <c r="E11" s="388">
        <f>C11*'Wskazniki emisji paliw'!H26</f>
        <v>114679.62957231567</v>
      </c>
      <c r="F11" s="389">
        <f>C11*'Wskazniki emisji paliw'!M26</f>
        <v>82961.035936653047</v>
      </c>
      <c r="G11" s="8"/>
      <c r="H11" s="296"/>
      <c r="I11" s="281"/>
      <c r="J11" s="8"/>
      <c r="P11" s="8"/>
      <c r="Q11" s="8"/>
      <c r="R11" s="8"/>
      <c r="S11" s="8"/>
      <c r="T11" s="8"/>
      <c r="U11" s="8"/>
      <c r="V11" s="8"/>
      <c r="W11" s="8"/>
      <c r="X11" s="8"/>
    </row>
    <row r="12" spans="1:52" s="10" customFormat="1" ht="14.25">
      <c r="A12" s="809"/>
      <c r="B12" s="385" t="s">
        <v>398</v>
      </c>
      <c r="C12" s="386">
        <v>0</v>
      </c>
      <c r="D12" s="387" t="s">
        <v>46</v>
      </c>
      <c r="E12" s="388">
        <f>C12*'Wskazniki emisji paliw'!H27</f>
        <v>0</v>
      </c>
      <c r="F12" s="389">
        <f>C12*'Wskazniki emisji paliw'!M27</f>
        <v>0</v>
      </c>
      <c r="G12" s="8"/>
      <c r="H12" s="296"/>
      <c r="I12" s="281"/>
      <c r="J12" s="8"/>
      <c r="P12" s="8"/>
      <c r="Q12" s="8"/>
      <c r="R12" s="8"/>
      <c r="S12" s="8"/>
      <c r="T12" s="8"/>
      <c r="U12" s="8"/>
      <c r="V12" s="8"/>
      <c r="W12" s="8"/>
      <c r="X12" s="8"/>
    </row>
    <row r="13" spans="1:52" s="10" customFormat="1" ht="14.25">
      <c r="A13" s="809"/>
      <c r="B13" s="385" t="s">
        <v>513</v>
      </c>
      <c r="C13" s="386">
        <f>375102-'Sam-Podsumowanie'!C28</f>
        <v>262659.83964331151</v>
      </c>
      <c r="D13" s="387" t="s">
        <v>45</v>
      </c>
      <c r="E13" s="388">
        <f>C13</f>
        <v>262659.83964331151</v>
      </c>
      <c r="F13" s="390">
        <f>C13*'Wskazniki emisji paliw'!K35</f>
        <v>85101.788044432935</v>
      </c>
      <c r="G13" s="8"/>
      <c r="H13" s="296"/>
      <c r="I13" s="281"/>
      <c r="J13" s="8"/>
      <c r="P13" s="8"/>
      <c r="Q13" s="8"/>
      <c r="R13" s="8"/>
      <c r="S13" s="8"/>
      <c r="T13" s="8"/>
      <c r="U13" s="8"/>
      <c r="V13" s="8"/>
      <c r="W13" s="8"/>
      <c r="X13" s="8"/>
    </row>
    <row r="14" spans="1:52" s="10" customFormat="1" ht="14.25">
      <c r="A14" s="809"/>
      <c r="B14" s="385" t="s">
        <v>465</v>
      </c>
      <c r="C14" s="386">
        <v>114000</v>
      </c>
      <c r="D14" s="387" t="s">
        <v>47</v>
      </c>
      <c r="E14" s="388">
        <f>C14*'Wskazniki emisji paliw'!H17</f>
        <v>1272.6935147999998</v>
      </c>
      <c r="F14" s="390">
        <f>C14*'Wskazniki emisji paliw'!L17</f>
        <v>315.81840546000001</v>
      </c>
      <c r="G14" s="8"/>
      <c r="H14" s="296"/>
      <c r="I14" s="281"/>
      <c r="J14" s="8"/>
      <c r="P14" s="8"/>
      <c r="Q14" s="8"/>
      <c r="R14" s="8"/>
      <c r="S14" s="8"/>
      <c r="T14" s="8"/>
      <c r="U14" s="8"/>
      <c r="V14" s="8"/>
      <c r="W14" s="8"/>
      <c r="X14" s="8"/>
    </row>
    <row r="15" spans="1:52" s="10" customFormat="1" ht="14.25">
      <c r="A15" s="809"/>
      <c r="B15" s="385" t="s">
        <v>415</v>
      </c>
      <c r="C15" s="386">
        <v>0</v>
      </c>
      <c r="D15" s="387" t="s">
        <v>47</v>
      </c>
      <c r="E15" s="388">
        <f>C15*'Wskazniki emisji paliw'!H18</f>
        <v>0</v>
      </c>
      <c r="F15" s="390">
        <f>C15*'Wskazniki emisji paliw'!L18</f>
        <v>0</v>
      </c>
      <c r="G15" s="8"/>
      <c r="H15" s="296"/>
      <c r="I15" s="281"/>
      <c r="J15" s="8"/>
      <c r="P15" s="8"/>
      <c r="Q15" s="8"/>
      <c r="R15" s="8"/>
      <c r="S15" s="8"/>
      <c r="T15" s="8"/>
      <c r="U15" s="8"/>
      <c r="V15" s="8"/>
      <c r="W15" s="8"/>
      <c r="X15" s="8"/>
    </row>
    <row r="16" spans="1:52" s="10" customFormat="1" ht="14.25">
      <c r="A16" s="809"/>
      <c r="B16" s="385" t="s">
        <v>540</v>
      </c>
      <c r="C16" s="386">
        <v>0</v>
      </c>
      <c r="D16" s="387" t="s">
        <v>47</v>
      </c>
      <c r="E16" s="388">
        <f>C16*'Wskazniki emisji paliw'!H22</f>
        <v>0</v>
      </c>
      <c r="F16" s="390">
        <f>C16*'Wskazniki emisji paliw'!L22</f>
        <v>0</v>
      </c>
      <c r="G16" s="8"/>
      <c r="H16" s="296"/>
      <c r="I16" s="281"/>
      <c r="J16" s="8"/>
      <c r="P16" s="8"/>
      <c r="Q16" s="8"/>
      <c r="R16" s="8"/>
      <c r="S16" s="8"/>
      <c r="T16" s="8"/>
      <c r="U16" s="8"/>
      <c r="V16" s="8"/>
      <c r="W16" s="8"/>
      <c r="X16" s="8"/>
    </row>
    <row r="17" spans="1:28" s="10" customFormat="1" ht="14.25">
      <c r="A17" s="809"/>
      <c r="B17" s="391" t="s">
        <v>354</v>
      </c>
      <c r="C17" s="386">
        <v>1464</v>
      </c>
      <c r="D17" s="392" t="s">
        <v>519</v>
      </c>
      <c r="E17" s="388">
        <f>C17*'Wskazniki emisji paliw'!H10</f>
        <v>10361.949561599999</v>
      </c>
      <c r="F17" s="389">
        <f>C17*'Wskazniki emisji paliw'!N10</f>
        <v>3506.45568</v>
      </c>
      <c r="G17" s="8"/>
      <c r="H17" s="393"/>
      <c r="I17" s="394"/>
      <c r="J17" s="8"/>
      <c r="P17" s="8"/>
      <c r="Q17" s="8"/>
      <c r="R17" s="8"/>
      <c r="S17" s="8"/>
      <c r="T17" s="8"/>
      <c r="U17" s="8"/>
      <c r="V17" s="8"/>
      <c r="W17" s="8"/>
      <c r="X17" s="8"/>
      <c r="Y17" s="8"/>
      <c r="Z17" s="8"/>
    </row>
    <row r="18" spans="1:28" s="10" customFormat="1" ht="14.25">
      <c r="A18" s="809"/>
      <c r="B18" s="391" t="s">
        <v>516</v>
      </c>
      <c r="C18" s="386">
        <v>0</v>
      </c>
      <c r="D18" s="392" t="s">
        <v>519</v>
      </c>
      <c r="E18" s="388">
        <f>C18*'Wskazniki emisji paliw'!H11</f>
        <v>0</v>
      </c>
      <c r="F18" s="389">
        <f>C18*'Wskazniki emisji paliw'!N11</f>
        <v>0</v>
      </c>
      <c r="G18" s="8"/>
      <c r="H18" s="393"/>
      <c r="I18" s="394"/>
      <c r="J18" s="8"/>
      <c r="P18" s="8"/>
      <c r="Q18" s="8"/>
      <c r="R18" s="8"/>
      <c r="S18" s="8"/>
      <c r="T18" s="8"/>
      <c r="U18" s="8"/>
      <c r="V18" s="8"/>
      <c r="W18" s="8"/>
      <c r="X18" s="8"/>
      <c r="Y18" s="8"/>
      <c r="Z18" s="8"/>
    </row>
    <row r="19" spans="1:28" s="10" customFormat="1" ht="14.25">
      <c r="A19" s="809"/>
      <c r="B19" s="391" t="s">
        <v>419</v>
      </c>
      <c r="C19" s="386">
        <v>0</v>
      </c>
      <c r="D19" s="392" t="s">
        <v>47</v>
      </c>
      <c r="E19" s="388">
        <f>C19*'Wskazniki emisji paliw'!H21</f>
        <v>0</v>
      </c>
      <c r="F19" s="390">
        <f>C19*'Wskazniki emisji paliw'!L21</f>
        <v>0</v>
      </c>
      <c r="G19" s="8"/>
      <c r="H19" s="296"/>
      <c r="I19" s="281"/>
      <c r="J19" s="8"/>
      <c r="P19" s="8"/>
      <c r="Q19" s="8"/>
      <c r="R19" s="8"/>
      <c r="S19" s="8"/>
      <c r="T19" s="8"/>
      <c r="U19" s="8"/>
      <c r="V19" s="8"/>
      <c r="W19" s="8"/>
      <c r="X19" s="8"/>
      <c r="Y19" s="8"/>
      <c r="Z19" s="8"/>
    </row>
    <row r="20" spans="1:28" s="10" customFormat="1" ht="14.25">
      <c r="A20" s="809"/>
      <c r="B20" s="391" t="s">
        <v>358</v>
      </c>
      <c r="C20" s="386">
        <v>0</v>
      </c>
      <c r="D20" s="392" t="s">
        <v>519</v>
      </c>
      <c r="E20" s="395">
        <f>C20*'Wskazniki emisji paliw'!H13</f>
        <v>0</v>
      </c>
      <c r="F20" s="396">
        <f>C20*'Wskazniki emisji paliw'!N13</f>
        <v>0</v>
      </c>
      <c r="G20" s="8"/>
      <c r="H20" s="296"/>
      <c r="I20" s="281"/>
      <c r="J20" s="8"/>
      <c r="P20" s="8"/>
      <c r="Q20" s="8"/>
      <c r="R20" s="8"/>
      <c r="S20" s="8"/>
      <c r="T20" s="8"/>
      <c r="U20" s="8"/>
      <c r="V20" s="8"/>
      <c r="W20" s="8"/>
      <c r="X20" s="8"/>
      <c r="Y20" s="8"/>
      <c r="Z20" s="8"/>
    </row>
    <row r="21" spans="1:28" s="10" customFormat="1" ht="15">
      <c r="A21" s="8"/>
      <c r="B21" s="397" t="s">
        <v>440</v>
      </c>
      <c r="C21" s="398"/>
      <c r="D21" s="399"/>
      <c r="E21" s="400">
        <f>SUM(E10:E20)</f>
        <v>526408.78317502723</v>
      </c>
      <c r="F21" s="401">
        <f>SUM(F10:F20)</f>
        <v>306845.94487365201</v>
      </c>
      <c r="G21" s="8"/>
      <c r="H21" s="8"/>
      <c r="I21" s="8"/>
      <c r="J21" s="8"/>
      <c r="P21" s="8"/>
      <c r="Q21" s="8"/>
      <c r="R21" s="8"/>
      <c r="S21" s="8"/>
      <c r="T21" s="8"/>
      <c r="U21" s="8"/>
      <c r="V21" s="8"/>
      <c r="W21" s="8"/>
      <c r="X21" s="8"/>
    </row>
    <row r="22" spans="1:28">
      <c r="A22" s="146"/>
      <c r="B22" s="146"/>
      <c r="C22" s="146"/>
      <c r="D22" s="146"/>
      <c r="E22" s="146"/>
      <c r="F22" s="146"/>
      <c r="G22" s="146"/>
      <c r="H22" s="146"/>
      <c r="I22" s="146"/>
      <c r="J22" s="146"/>
      <c r="P22" s="146"/>
      <c r="Q22" s="146"/>
      <c r="R22" s="146"/>
      <c r="S22" s="146"/>
      <c r="T22" s="146"/>
      <c r="U22" s="146"/>
      <c r="V22" s="146"/>
      <c r="W22" s="146"/>
      <c r="X22" s="146"/>
      <c r="Y22" s="146"/>
      <c r="Z22" s="146"/>
    </row>
    <row r="23" spans="1:28" s="384" customFormat="1" ht="28.5" customHeight="1">
      <c r="A23" s="378"/>
      <c r="B23" s="964" t="s">
        <v>486</v>
      </c>
      <c r="C23" s="964"/>
      <c r="D23" s="402" t="s">
        <v>541</v>
      </c>
      <c r="E23" s="402" t="s">
        <v>532</v>
      </c>
      <c r="F23" s="403" t="s">
        <v>535</v>
      </c>
      <c r="G23" s="378"/>
      <c r="H23" s="378"/>
      <c r="I23" s="378"/>
      <c r="J23" s="378"/>
      <c r="P23" s="378"/>
      <c r="Q23" s="378"/>
      <c r="R23" s="378"/>
      <c r="S23" s="378"/>
      <c r="T23" s="378"/>
      <c r="U23" s="378"/>
      <c r="V23" s="378"/>
      <c r="W23" s="378"/>
      <c r="X23" s="378"/>
      <c r="Y23" s="378"/>
      <c r="Z23" s="378"/>
      <c r="AA23" s="378"/>
    </row>
    <row r="24" spans="1:28" ht="16.5" customHeight="1">
      <c r="A24" s="146"/>
      <c r="B24" s="965" t="s">
        <v>542</v>
      </c>
      <c r="C24" s="965"/>
      <c r="D24" s="410"/>
      <c r="E24" s="411" t="str">
        <f>IFERROR(E$20/D24,"")</f>
        <v/>
      </c>
      <c r="F24" s="412" t="str">
        <f>IFERROR(F$20/D24,"")</f>
        <v/>
      </c>
      <c r="G24" s="810"/>
      <c r="H24" s="146"/>
      <c r="I24" s="146"/>
      <c r="J24" s="146"/>
      <c r="P24" s="146"/>
      <c r="Q24" s="146"/>
      <c r="R24" s="146"/>
      <c r="S24" s="146"/>
      <c r="T24" s="146"/>
      <c r="U24" s="146"/>
      <c r="V24" s="146"/>
      <c r="W24" s="146"/>
      <c r="X24" s="146"/>
      <c r="Y24" s="146"/>
      <c r="Z24" s="146"/>
      <c r="AA24" s="146"/>
    </row>
    <row r="25" spans="1:28" ht="14.25" customHeight="1">
      <c r="A25" s="146"/>
      <c r="B25" s="965" t="s">
        <v>543</v>
      </c>
      <c r="C25" s="965"/>
      <c r="D25" s="410"/>
      <c r="E25" s="411" t="str">
        <f>IFERROR(E$20/D25,"")</f>
        <v/>
      </c>
      <c r="F25" s="412" t="str">
        <f>IFERROR(F$20/D25,"")</f>
        <v/>
      </c>
      <c r="G25" s="810"/>
      <c r="H25" s="146"/>
      <c r="I25" s="146"/>
      <c r="J25" s="146"/>
      <c r="P25" s="146"/>
      <c r="Q25" s="146"/>
      <c r="R25" s="146"/>
      <c r="S25" s="146"/>
      <c r="T25" s="146"/>
      <c r="U25" s="146"/>
      <c r="V25" s="146"/>
      <c r="W25" s="146"/>
      <c r="X25" s="146"/>
      <c r="Y25" s="146"/>
      <c r="Z25" s="146"/>
      <c r="AA25" s="146"/>
    </row>
    <row r="26" spans="1:28" s="10" customFormat="1" ht="14.25">
      <c r="A26" s="8"/>
      <c r="B26" s="966" t="s">
        <v>544</v>
      </c>
      <c r="C26" s="966"/>
      <c r="D26" s="413"/>
      <c r="E26" s="411" t="str">
        <f>IFERROR(E$20/D26,"")</f>
        <v/>
      </c>
      <c r="F26" s="412" t="str">
        <f>IFERROR(F$20/D26,"")</f>
        <v/>
      </c>
      <c r="G26" s="837"/>
      <c r="H26" s="8"/>
      <c r="I26" s="8"/>
      <c r="J26" s="8"/>
      <c r="P26" s="8"/>
      <c r="Q26" s="8"/>
      <c r="R26" s="8"/>
      <c r="S26" s="8"/>
      <c r="T26" s="8"/>
      <c r="U26" s="8"/>
      <c r="V26" s="8"/>
      <c r="W26" s="8"/>
      <c r="X26" s="8"/>
      <c r="Y26" s="8"/>
      <c r="Z26" s="8"/>
      <c r="AA26" s="8"/>
    </row>
    <row r="27" spans="1:28">
      <c r="A27" s="146"/>
      <c r="B27" s="146"/>
      <c r="C27" s="146"/>
      <c r="D27" s="146"/>
      <c r="E27" s="146"/>
      <c r="F27" s="146"/>
      <c r="G27" s="810"/>
      <c r="H27" s="146"/>
      <c r="I27" s="146"/>
      <c r="J27" s="146"/>
      <c r="P27" s="146"/>
      <c r="Q27" s="146"/>
      <c r="R27" s="146"/>
      <c r="S27" s="146"/>
      <c r="T27" s="146"/>
      <c r="U27" s="146"/>
      <c r="V27" s="146"/>
      <c r="W27" s="146"/>
      <c r="X27" s="146"/>
      <c r="Y27" s="146"/>
      <c r="Z27" s="146"/>
    </row>
    <row r="28" spans="1:28" s="10" customFormat="1" ht="14.25">
      <c r="A28" s="8"/>
      <c r="B28" s="8"/>
      <c r="C28" s="8"/>
      <c r="D28" s="8"/>
      <c r="E28" s="8"/>
      <c r="F28" s="8"/>
      <c r="G28" s="8"/>
      <c r="H28" s="8"/>
      <c r="I28" s="8"/>
      <c r="J28" s="8"/>
      <c r="P28" s="8"/>
      <c r="Q28" s="8"/>
      <c r="R28" s="8"/>
      <c r="S28" s="8"/>
      <c r="T28" s="8"/>
      <c r="U28" s="8"/>
      <c r="V28" s="8"/>
      <c r="W28" s="8"/>
      <c r="X28" s="8"/>
      <c r="Y28" s="8"/>
      <c r="Z28" s="8"/>
    </row>
    <row r="29" spans="1:28" s="10" customFormat="1" ht="14.25">
      <c r="A29" s="8"/>
      <c r="C29" s="316" t="s">
        <v>490</v>
      </c>
      <c r="D29" s="414">
        <v>1</v>
      </c>
      <c r="E29" s="971"/>
      <c r="F29" s="971"/>
      <c r="G29" s="971"/>
      <c r="H29" s="971"/>
      <c r="I29" s="8"/>
      <c r="J29" s="8"/>
      <c r="K29" s="8"/>
      <c r="L29" s="8"/>
      <c r="M29" s="8"/>
      <c r="N29" s="8"/>
      <c r="O29" s="8"/>
      <c r="P29" s="8"/>
      <c r="Q29" s="8"/>
      <c r="R29" s="8"/>
      <c r="S29" s="8"/>
      <c r="T29" s="8"/>
      <c r="U29" s="8"/>
      <c r="V29" s="8"/>
      <c r="W29" s="8"/>
      <c r="X29" s="8"/>
      <c r="Y29" s="8"/>
      <c r="Z29" s="8"/>
      <c r="AA29" s="8"/>
      <c r="AB29" s="8"/>
    </row>
    <row r="30" spans="1:28" s="10" customFormat="1" ht="14.25">
      <c r="A30" s="8"/>
      <c r="B30" s="415"/>
      <c r="C30" s="8"/>
      <c r="D30" s="414">
        <v>2</v>
      </c>
      <c r="E30" s="971"/>
      <c r="F30" s="971"/>
      <c r="G30" s="971"/>
      <c r="H30" s="971"/>
      <c r="I30" s="8"/>
      <c r="J30" s="8"/>
      <c r="K30" s="8"/>
      <c r="L30" s="8"/>
      <c r="M30" s="8"/>
      <c r="N30" s="8"/>
      <c r="O30" s="8"/>
      <c r="P30" s="8"/>
      <c r="Q30" s="8"/>
      <c r="R30" s="8"/>
      <c r="S30" s="8"/>
      <c r="T30" s="8"/>
      <c r="U30" s="8"/>
      <c r="V30" s="8"/>
      <c r="W30" s="8"/>
      <c r="X30" s="8"/>
      <c r="Y30" s="8"/>
      <c r="Z30" s="8"/>
      <c r="AA30" s="8"/>
      <c r="AB30" s="8"/>
    </row>
    <row r="31" spans="1:28" s="10" customFormat="1" ht="14.25">
      <c r="A31" s="8"/>
      <c r="B31" s="415"/>
      <c r="C31" s="8"/>
      <c r="D31" s="414">
        <v>3</v>
      </c>
      <c r="E31" s="971"/>
      <c r="F31" s="971"/>
      <c r="G31" s="971"/>
      <c r="H31" s="971"/>
      <c r="I31" s="8"/>
      <c r="J31" s="8"/>
      <c r="K31" s="8"/>
      <c r="L31" s="8"/>
      <c r="M31" s="8"/>
      <c r="N31" s="8"/>
      <c r="O31" s="8"/>
      <c r="P31" s="8"/>
      <c r="Q31" s="8"/>
      <c r="R31" s="8"/>
      <c r="S31" s="8"/>
      <c r="T31" s="8"/>
      <c r="U31" s="8"/>
      <c r="V31" s="8"/>
      <c r="W31" s="8"/>
      <c r="X31" s="8"/>
      <c r="Y31" s="8"/>
      <c r="Z31" s="8"/>
      <c r="AA31" s="8"/>
      <c r="AB31" s="8"/>
    </row>
    <row r="32" spans="1:28" s="10" customFormat="1" ht="14.2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row>
    <row r="33" spans="1:28" s="10" customFormat="1" ht="14.2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row>
    <row r="34" spans="1:28" s="10" customFormat="1" ht="14.2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row>
    <row r="35" spans="1:28" s="10" customFormat="1" ht="14.2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row>
    <row r="36" spans="1:28" s="10" customFormat="1" ht="14.2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row>
    <row r="37" spans="1:28" s="10" customFormat="1" ht="14.2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row>
    <row r="38" spans="1:28">
      <c r="A38" s="146"/>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row>
    <row r="39" spans="1:28">
      <c r="A39" s="146"/>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row>
    <row r="40" spans="1:28">
      <c r="A40" s="146"/>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row>
    <row r="41" spans="1:28">
      <c r="A41" s="146"/>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row>
    <row r="42" spans="1:28">
      <c r="A42" s="146"/>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row>
    <row r="43" spans="1:28">
      <c r="A43" s="146"/>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row>
  </sheetData>
  <mergeCells count="10">
    <mergeCell ref="D1:H1"/>
    <mergeCell ref="B3:H3"/>
    <mergeCell ref="C6:H6"/>
    <mergeCell ref="B23:C23"/>
    <mergeCell ref="E30:H30"/>
    <mergeCell ref="E31:H31"/>
    <mergeCell ref="B24:C24"/>
    <mergeCell ref="B25:C25"/>
    <mergeCell ref="B26:C26"/>
    <mergeCell ref="E29:H29"/>
  </mergeCells>
  <phoneticPr fontId="37" type="noConversion"/>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AS67"/>
  <sheetViews>
    <sheetView tabSelected="1" topLeftCell="A28" workbookViewId="0">
      <selection activeCell="C7" sqref="C7:H7"/>
    </sheetView>
  </sheetViews>
  <sheetFormatPr defaultRowHeight="12.75"/>
  <cols>
    <col min="1" max="1" width="4.1640625" customWidth="1"/>
    <col min="2" max="2" width="29.83203125" customWidth="1"/>
    <col min="3" max="3" width="18.83203125" customWidth="1"/>
    <col min="4" max="4" width="14" customWidth="1"/>
    <col min="5" max="5" width="21.1640625" customWidth="1"/>
    <col min="6" max="6" width="21" customWidth="1"/>
    <col min="7" max="7" width="2" customWidth="1"/>
    <col min="8" max="8" width="55.33203125" customWidth="1"/>
    <col min="11" max="11" width="33.1640625" customWidth="1"/>
    <col min="12" max="13" width="14.1640625" customWidth="1"/>
    <col min="14" max="14" width="14.6640625" customWidth="1"/>
    <col min="15" max="15" width="12.33203125" customWidth="1"/>
  </cols>
  <sheetData>
    <row r="1" spans="1:45" s="144" customFormat="1" ht="14.25">
      <c r="A1" s="138"/>
      <c r="B1" s="373" t="s">
        <v>443</v>
      </c>
      <c r="C1" s="138"/>
      <c r="D1" s="967" t="str">
        <f>Ogolne!D5</f>
        <v>Bydgoszcz</v>
      </c>
      <c r="E1" s="967"/>
      <c r="F1" s="967"/>
      <c r="G1" s="967"/>
      <c r="H1" s="967"/>
      <c r="I1" s="140"/>
      <c r="J1" s="140"/>
      <c r="K1" s="140"/>
      <c r="L1" s="140"/>
      <c r="M1" s="140"/>
      <c r="N1" s="140"/>
      <c r="O1" s="140"/>
      <c r="P1" s="140"/>
      <c r="Q1" s="140"/>
      <c r="R1" s="140"/>
      <c r="S1" s="140"/>
      <c r="T1" s="140"/>
      <c r="U1" s="140"/>
      <c r="V1" s="138"/>
      <c r="W1" s="138"/>
      <c r="X1" s="138"/>
      <c r="Y1" s="138"/>
      <c r="Z1" s="138"/>
      <c r="AA1" s="138"/>
      <c r="AB1" s="138"/>
      <c r="AC1" s="138"/>
      <c r="AD1" s="142"/>
      <c r="AE1" s="142"/>
      <c r="AF1" s="142"/>
      <c r="AG1" s="142"/>
      <c r="AH1" s="142"/>
      <c r="AI1" s="142"/>
      <c r="AJ1" s="138"/>
      <c r="AK1" s="143"/>
      <c r="AL1" s="138"/>
      <c r="AM1" s="138"/>
      <c r="AN1" s="138"/>
      <c r="AO1" s="138"/>
      <c r="AP1" s="138"/>
      <c r="AQ1" s="138"/>
      <c r="AR1" s="138"/>
      <c r="AS1" s="138"/>
    </row>
    <row r="2" spans="1:45">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row>
    <row r="3" spans="1:45" ht="26.25">
      <c r="A3" s="146"/>
      <c r="B3" s="934" t="s">
        <v>545</v>
      </c>
      <c r="C3" s="934"/>
      <c r="D3" s="934"/>
      <c r="E3" s="934"/>
      <c r="F3" s="934"/>
      <c r="G3" s="934"/>
      <c r="H3" s="934"/>
      <c r="I3" s="146"/>
      <c r="J3" s="146"/>
      <c r="P3" s="146"/>
      <c r="Q3" s="146"/>
      <c r="R3" s="146"/>
      <c r="S3" s="146"/>
      <c r="T3" s="146"/>
      <c r="U3" s="146"/>
      <c r="V3" s="146"/>
      <c r="W3" s="146"/>
      <c r="X3" s="146"/>
    </row>
    <row r="4" spans="1:45" ht="15.75">
      <c r="A4" s="146"/>
      <c r="B4" s="375"/>
      <c r="C4" s="149" t="s">
        <v>538</v>
      </c>
      <c r="D4" s="376">
        <f>comyear</f>
        <v>2005</v>
      </c>
      <c r="E4" s="146"/>
      <c r="F4" s="146"/>
      <c r="G4" s="146"/>
      <c r="H4" s="146"/>
      <c r="I4" s="146"/>
      <c r="J4" s="146"/>
      <c r="P4" s="146"/>
      <c r="Q4" s="146"/>
      <c r="R4" s="146"/>
      <c r="S4" s="146"/>
      <c r="T4" s="146"/>
      <c r="U4" s="146"/>
      <c r="V4" s="146"/>
      <c r="W4" s="146"/>
      <c r="X4" s="146"/>
    </row>
    <row r="5" spans="1:45">
      <c r="A5" s="146"/>
      <c r="B5" s="152"/>
      <c r="C5" s="152"/>
      <c r="D5" s="152"/>
      <c r="E5" s="146"/>
      <c r="F5" s="146"/>
      <c r="G5" s="146"/>
      <c r="H5" s="146"/>
      <c r="I5" s="146"/>
      <c r="J5" s="146"/>
      <c r="P5" s="146"/>
      <c r="Q5" s="146"/>
      <c r="R5" s="146"/>
      <c r="S5" s="146"/>
      <c r="T5" s="146"/>
      <c r="U5" s="146"/>
      <c r="V5" s="146"/>
      <c r="W5" s="146"/>
      <c r="X5" s="146"/>
    </row>
    <row r="6" spans="1:45" ht="12.75" customHeight="1">
      <c r="A6" s="146"/>
      <c r="B6" s="416" t="s">
        <v>442</v>
      </c>
      <c r="C6" s="976" t="s">
        <v>562</v>
      </c>
      <c r="D6" s="976"/>
      <c r="E6" s="976"/>
      <c r="F6" s="976"/>
      <c r="G6" s="976"/>
      <c r="H6" s="976"/>
      <c r="I6" s="146"/>
      <c r="J6" s="146"/>
      <c r="P6" s="146"/>
      <c r="Q6" s="146"/>
      <c r="R6" s="146"/>
      <c r="S6" s="146"/>
      <c r="T6" s="146"/>
      <c r="U6" s="146"/>
      <c r="V6" s="146"/>
      <c r="W6" s="146"/>
      <c r="X6" s="146"/>
    </row>
    <row r="7" spans="1:45" ht="12.75" customHeight="1">
      <c r="A7" s="146"/>
      <c r="B7" s="417" t="s">
        <v>560</v>
      </c>
      <c r="C7" s="977" t="s">
        <v>561</v>
      </c>
      <c r="D7" s="977"/>
      <c r="E7" s="977"/>
      <c r="F7" s="977"/>
      <c r="G7" s="977"/>
      <c r="H7" s="977"/>
      <c r="I7" s="146"/>
      <c r="J7" s="146"/>
      <c r="P7" s="146"/>
      <c r="Q7" s="146"/>
      <c r="R7" s="146"/>
      <c r="S7" s="146"/>
      <c r="T7" s="146"/>
      <c r="U7" s="146"/>
      <c r="V7" s="146"/>
      <c r="W7" s="146"/>
      <c r="X7" s="146"/>
    </row>
    <row r="8" spans="1:45">
      <c r="A8" s="146"/>
      <c r="B8" s="146"/>
      <c r="C8" s="146"/>
      <c r="D8" s="146"/>
      <c r="E8" s="146"/>
      <c r="F8" s="146"/>
      <c r="G8" s="146"/>
      <c r="H8" s="146"/>
      <c r="I8" s="146"/>
      <c r="J8" s="146"/>
      <c r="P8" s="146"/>
      <c r="Q8" s="146"/>
      <c r="R8" s="146"/>
      <c r="S8" s="146"/>
      <c r="T8" s="146"/>
      <c r="U8" s="146"/>
      <c r="V8" s="146"/>
      <c r="W8" s="146"/>
      <c r="X8" s="146"/>
    </row>
    <row r="9" spans="1:45" s="384" customFormat="1" ht="30">
      <c r="A9" s="378"/>
      <c r="B9" s="418" t="s">
        <v>526</v>
      </c>
      <c r="C9" s="419" t="s">
        <v>527</v>
      </c>
      <c r="D9" s="419" t="s">
        <v>530</v>
      </c>
      <c r="E9" s="419" t="s">
        <v>531</v>
      </c>
      <c r="F9" s="420" t="s">
        <v>412</v>
      </c>
      <c r="G9" s="421"/>
      <c r="H9" s="290" t="s">
        <v>379</v>
      </c>
      <c r="I9" s="146"/>
      <c r="J9" s="378"/>
      <c r="P9" s="378"/>
      <c r="Q9" s="378"/>
      <c r="R9" s="378"/>
      <c r="S9" s="378"/>
      <c r="T9" s="378"/>
      <c r="U9" s="378"/>
      <c r="V9" s="378"/>
      <c r="W9" s="378"/>
      <c r="X9" s="378"/>
      <c r="Y9" s="378"/>
    </row>
    <row r="10" spans="1:45" ht="14.25">
      <c r="A10" s="811"/>
      <c r="B10" s="385" t="s">
        <v>349</v>
      </c>
      <c r="C10" s="386">
        <v>750049000</v>
      </c>
      <c r="D10" s="422" t="s">
        <v>44</v>
      </c>
      <c r="E10" s="423">
        <f>C10/1000</f>
        <v>750049</v>
      </c>
      <c r="F10" s="424">
        <f>C10*(HLOOKUP(Ogolne!$D$6,'Wskazniki emisji elektrycznosc'!$B$8:$G$29,Ogolne!$E$7,TRUE))/1000</f>
        <v>736548.11800000002</v>
      </c>
      <c r="G10" s="8"/>
      <c r="H10" s="425"/>
      <c r="J10" s="146"/>
      <c r="P10" s="146"/>
      <c r="Q10" s="146"/>
      <c r="R10" s="146"/>
      <c r="S10" s="146"/>
      <c r="T10" s="146"/>
      <c r="U10" s="146"/>
      <c r="V10" s="146"/>
      <c r="W10" s="146"/>
      <c r="X10" s="146"/>
      <c r="Y10" s="146"/>
    </row>
    <row r="11" spans="1:45" s="10" customFormat="1" ht="14.25">
      <c r="A11" s="809"/>
      <c r="B11" s="385" t="s">
        <v>514</v>
      </c>
      <c r="C11" s="386">
        <f>13109900-'Lokalna produkcja energii'!T31</f>
        <v>12176555</v>
      </c>
      <c r="D11" s="387" t="s">
        <v>46</v>
      </c>
      <c r="E11" s="388">
        <f>C11*'Wskazniki emisji paliw'!H26</f>
        <v>122070.940434711</v>
      </c>
      <c r="F11" s="389">
        <f>C11*'Wskazniki emisji paliw'!M26</f>
        <v>88308.025705986773</v>
      </c>
      <c r="G11" s="8"/>
      <c r="H11" s="296"/>
      <c r="I11" s="281"/>
      <c r="J11" s="8"/>
      <c r="P11" s="8"/>
      <c r="Q11" s="8"/>
      <c r="R11" s="8"/>
      <c r="S11" s="8"/>
      <c r="T11" s="8"/>
      <c r="U11" s="8"/>
      <c r="V11" s="8"/>
      <c r="W11" s="8"/>
      <c r="X11" s="8"/>
    </row>
    <row r="12" spans="1:45" s="10" customFormat="1" ht="14.25">
      <c r="A12" s="809"/>
      <c r="B12" s="385" t="s">
        <v>398</v>
      </c>
      <c r="C12" s="386">
        <v>0</v>
      </c>
      <c r="D12" s="387" t="s">
        <v>46</v>
      </c>
      <c r="E12" s="388">
        <f>C12*'Wskazniki emisji paliw'!H27</f>
        <v>0</v>
      </c>
      <c r="F12" s="389">
        <f>C12*'Wskazniki emisji paliw'!M27</f>
        <v>0</v>
      </c>
      <c r="G12" s="8"/>
      <c r="H12" s="296"/>
      <c r="I12" s="281"/>
      <c r="J12" s="8"/>
      <c r="P12" s="8"/>
      <c r="Q12" s="8"/>
      <c r="R12" s="8"/>
      <c r="S12" s="8"/>
      <c r="T12" s="8"/>
      <c r="U12" s="8"/>
      <c r="V12" s="8"/>
      <c r="W12" s="8"/>
      <c r="X12" s="8"/>
    </row>
    <row r="13" spans="1:45" ht="14.25">
      <c r="A13" s="811"/>
      <c r="B13" s="385" t="s">
        <v>513</v>
      </c>
      <c r="C13" s="386">
        <v>52250.79</v>
      </c>
      <c r="D13" s="387" t="s">
        <v>45</v>
      </c>
      <c r="E13" s="388">
        <f>C13</f>
        <v>52250.79</v>
      </c>
      <c r="F13" s="389">
        <f>C13*'Wskazniki emisji paliw'!K35</f>
        <v>16929.255960000002</v>
      </c>
      <c r="G13" s="8"/>
      <c r="H13" s="425"/>
      <c r="I13" s="146"/>
      <c r="J13" s="146"/>
      <c r="P13" s="146"/>
      <c r="Q13" s="146"/>
      <c r="R13" s="146"/>
      <c r="S13" s="146"/>
      <c r="T13" s="146"/>
      <c r="U13" s="146"/>
      <c r="V13" s="146"/>
      <c r="W13" s="146"/>
      <c r="X13" s="146"/>
      <c r="Y13" s="146"/>
    </row>
    <row r="14" spans="1:45" ht="14.25">
      <c r="A14" s="811"/>
      <c r="B14" s="385" t="s">
        <v>465</v>
      </c>
      <c r="C14" s="386">
        <v>2878147</v>
      </c>
      <c r="D14" s="387" t="s">
        <v>47</v>
      </c>
      <c r="E14" s="388">
        <f>C14*'Wskazniki emisji paliw'!H17</f>
        <v>32131.570364395393</v>
      </c>
      <c r="F14" s="389">
        <f>C14*'Wskazniki emisji paliw'!L17</f>
        <v>7973.4368089428299</v>
      </c>
      <c r="G14" s="8"/>
      <c r="H14" s="425"/>
      <c r="I14" s="146"/>
      <c r="J14" s="146"/>
      <c r="P14" s="146"/>
      <c r="Q14" s="146"/>
      <c r="R14" s="146"/>
      <c r="S14" s="146"/>
      <c r="T14" s="146"/>
      <c r="U14" s="146"/>
      <c r="V14" s="146"/>
      <c r="W14" s="146"/>
      <c r="X14" s="146"/>
      <c r="Y14" s="146"/>
    </row>
    <row r="15" spans="1:45" ht="14.25">
      <c r="A15" s="811"/>
      <c r="B15" s="385" t="s">
        <v>415</v>
      </c>
      <c r="C15" s="386">
        <v>0</v>
      </c>
      <c r="D15" s="387" t="s">
        <v>47</v>
      </c>
      <c r="E15" s="388">
        <f>C15*'Wskazniki emisji paliw'!H18</f>
        <v>0</v>
      </c>
      <c r="F15" s="389">
        <f>C15*'Wskazniki emisji paliw'!L18</f>
        <v>0</v>
      </c>
      <c r="G15" s="8"/>
      <c r="H15" s="425"/>
      <c r="I15" s="146"/>
      <c r="J15" s="146"/>
      <c r="P15" s="146"/>
      <c r="Q15" s="146"/>
      <c r="R15" s="146"/>
      <c r="S15" s="146"/>
      <c r="T15" s="146"/>
      <c r="U15" s="146"/>
      <c r="V15" s="146"/>
      <c r="W15" s="146"/>
      <c r="X15" s="146"/>
      <c r="Y15" s="146"/>
    </row>
    <row r="16" spans="1:45" ht="14.25">
      <c r="A16" s="811"/>
      <c r="B16" s="385" t="s">
        <v>540</v>
      </c>
      <c r="C16" s="386">
        <v>0</v>
      </c>
      <c r="D16" s="387" t="s">
        <v>47</v>
      </c>
      <c r="E16" s="388">
        <f>C16*'Wskazniki emisji paliw'!H22</f>
        <v>0</v>
      </c>
      <c r="F16" s="389">
        <f>C16*'Wskazniki emisji paliw'!L22</f>
        <v>0</v>
      </c>
      <c r="G16" s="8"/>
      <c r="H16" s="425"/>
      <c r="I16" s="146"/>
      <c r="J16" s="146"/>
      <c r="P16" s="146"/>
      <c r="Q16" s="146"/>
      <c r="R16" s="146"/>
      <c r="S16" s="146"/>
      <c r="T16" s="146"/>
      <c r="U16" s="146"/>
      <c r="V16" s="146"/>
      <c r="W16" s="146"/>
      <c r="X16" s="146"/>
      <c r="Y16" s="146"/>
    </row>
    <row r="17" spans="1:25" ht="14.25">
      <c r="A17" s="811"/>
      <c r="B17" s="391" t="s">
        <v>354</v>
      </c>
      <c r="C17" s="386">
        <v>16353</v>
      </c>
      <c r="D17" s="392" t="s">
        <v>519</v>
      </c>
      <c r="E17" s="388">
        <f>C17*'Wskazniki emisji paliw'!H10</f>
        <v>115743.82594319999</v>
      </c>
      <c r="F17" s="389">
        <f>C17*'Wskazniki emisji paliw'!N10</f>
        <v>39167.397359999995</v>
      </c>
      <c r="G17" s="8"/>
      <c r="H17" s="426"/>
      <c r="I17" s="146"/>
      <c r="J17" s="146"/>
      <c r="P17" s="146"/>
      <c r="Q17" s="146"/>
      <c r="R17" s="146"/>
      <c r="S17" s="146"/>
      <c r="T17" s="146"/>
      <c r="U17" s="146"/>
      <c r="V17" s="146"/>
      <c r="W17" s="146"/>
      <c r="X17" s="146"/>
      <c r="Y17" s="146"/>
    </row>
    <row r="18" spans="1:25" ht="14.25">
      <c r="A18" s="811"/>
      <c r="B18" s="391" t="s">
        <v>516</v>
      </c>
      <c r="C18" s="386">
        <v>0</v>
      </c>
      <c r="D18" s="392" t="s">
        <v>519</v>
      </c>
      <c r="E18" s="388">
        <f>C18*'Wskazniki emisji paliw'!H11</f>
        <v>0</v>
      </c>
      <c r="F18" s="389">
        <f>C18*'Wskazniki emisji paliw'!N11</f>
        <v>0</v>
      </c>
      <c r="G18" s="8"/>
      <c r="H18" s="425"/>
      <c r="I18" s="146"/>
      <c r="J18" s="146"/>
      <c r="P18" s="146"/>
      <c r="Q18" s="146"/>
      <c r="R18" s="146"/>
      <c r="S18" s="146"/>
      <c r="T18" s="146"/>
      <c r="U18" s="146"/>
      <c r="V18" s="146"/>
      <c r="W18" s="146"/>
      <c r="X18" s="146"/>
      <c r="Y18" s="146"/>
    </row>
    <row r="19" spans="1:25" ht="14.25">
      <c r="A19" s="811"/>
      <c r="B19" s="391" t="s">
        <v>517</v>
      </c>
      <c r="C19" s="386">
        <v>120.55</v>
      </c>
      <c r="D19" s="392" t="s">
        <v>519</v>
      </c>
      <c r="E19" s="388">
        <f>C19*'Wskazniki emisji paliw'!H12</f>
        <v>944.31588779999981</v>
      </c>
      <c r="F19" s="389">
        <f>C19*'Wskazniki emisji paliw'!N12</f>
        <v>360.34805999999998</v>
      </c>
      <c r="G19" s="8"/>
      <c r="H19" s="425"/>
      <c r="I19" s="146"/>
      <c r="J19" s="146"/>
      <c r="P19" s="146"/>
      <c r="Q19" s="146"/>
      <c r="R19" s="146"/>
      <c r="S19" s="146"/>
      <c r="T19" s="146"/>
      <c r="U19" s="146"/>
      <c r="V19" s="146"/>
      <c r="W19" s="146"/>
      <c r="X19" s="146"/>
      <c r="Y19" s="146"/>
    </row>
    <row r="20" spans="1:25" ht="14.25">
      <c r="A20" s="811"/>
      <c r="B20" s="391" t="s">
        <v>518</v>
      </c>
      <c r="C20" s="386">
        <v>0</v>
      </c>
      <c r="D20" s="392" t="s">
        <v>519</v>
      </c>
      <c r="E20" s="388">
        <f>C20*'Wskazniki emisji paliw'!H33</f>
        <v>0</v>
      </c>
      <c r="F20" s="390">
        <f>(C20*'Wskazniki emisji paliw'!N33)</f>
        <v>0</v>
      </c>
      <c r="G20" s="8"/>
      <c r="H20" s="425"/>
      <c r="I20" s="146"/>
      <c r="J20" s="146"/>
      <c r="P20" s="146"/>
      <c r="Q20" s="146"/>
      <c r="R20" s="146"/>
      <c r="S20" s="146"/>
      <c r="T20" s="146"/>
      <c r="U20" s="146"/>
      <c r="V20" s="146"/>
      <c r="W20" s="146"/>
      <c r="X20" s="146"/>
      <c r="Y20" s="146"/>
    </row>
    <row r="21" spans="1:25" ht="14.25">
      <c r="A21" s="811"/>
      <c r="B21" s="391" t="s">
        <v>419</v>
      </c>
      <c r="C21" s="386">
        <v>0</v>
      </c>
      <c r="D21" s="392" t="s">
        <v>47</v>
      </c>
      <c r="E21" s="388">
        <f>C21*'Wskazniki emisji paliw'!H21</f>
        <v>0</v>
      </c>
      <c r="F21" s="390">
        <f>(C21*'Wskazniki emisji paliw'!L21)</f>
        <v>0</v>
      </c>
      <c r="G21" s="8"/>
      <c r="H21" s="425"/>
      <c r="I21" s="146"/>
      <c r="J21" s="146"/>
      <c r="P21" s="146"/>
      <c r="Q21" s="146"/>
      <c r="R21" s="146"/>
      <c r="S21" s="146"/>
      <c r="T21" s="146"/>
      <c r="U21" s="146"/>
      <c r="V21" s="146"/>
      <c r="W21" s="146"/>
      <c r="X21" s="146"/>
      <c r="Y21" s="146"/>
    </row>
    <row r="22" spans="1:25" ht="14.25">
      <c r="A22" s="811"/>
      <c r="B22" s="391" t="s">
        <v>358</v>
      </c>
      <c r="C22" s="386">
        <v>90.3</v>
      </c>
      <c r="D22" s="392" t="s">
        <v>519</v>
      </c>
      <c r="E22" s="388">
        <f>C22*'Wskazniki emisji paliw'!H13</f>
        <v>501.67067999999989</v>
      </c>
      <c r="F22" s="390">
        <f>(C22*'Wskazniki emisji paliw'!N13)</f>
        <v>6.1404E-2</v>
      </c>
      <c r="G22" s="8"/>
      <c r="H22" s="425"/>
      <c r="I22" s="146"/>
      <c r="J22" s="146"/>
      <c r="P22" s="146"/>
      <c r="Q22" s="146"/>
      <c r="R22" s="146"/>
      <c r="S22" s="146"/>
      <c r="T22" s="146"/>
      <c r="U22" s="146"/>
      <c r="V22" s="146"/>
      <c r="W22" s="146"/>
      <c r="X22" s="146"/>
      <c r="Y22" s="146"/>
    </row>
    <row r="23" spans="1:25" ht="14.25">
      <c r="A23" s="146"/>
      <c r="B23" s="391" t="s">
        <v>546</v>
      </c>
      <c r="C23" s="427"/>
      <c r="D23" s="392"/>
      <c r="E23" s="428"/>
      <c r="F23" s="396">
        <f>F37</f>
        <v>0</v>
      </c>
      <c r="G23" s="8"/>
      <c r="H23" s="429"/>
      <c r="I23" s="146"/>
      <c r="J23" s="146"/>
      <c r="P23" s="146"/>
      <c r="Q23" s="146"/>
      <c r="R23" s="146"/>
      <c r="S23" s="146"/>
      <c r="T23" s="146"/>
      <c r="U23" s="146"/>
      <c r="V23" s="146"/>
      <c r="W23" s="146"/>
      <c r="X23" s="146"/>
      <c r="Y23" s="146"/>
    </row>
    <row r="24" spans="1:25" ht="15">
      <c r="A24" s="146"/>
      <c r="B24" s="397" t="s">
        <v>440</v>
      </c>
      <c r="C24" s="400"/>
      <c r="D24" s="430"/>
      <c r="E24" s="400">
        <f>SUM(E10:E23)</f>
        <v>1073692.1133101063</v>
      </c>
      <c r="F24" s="401">
        <f>SUM(F10:F23)</f>
        <v>889286.64329892956</v>
      </c>
      <c r="G24" s="8"/>
      <c r="H24" s="8"/>
      <c r="I24" s="146"/>
      <c r="J24" s="146"/>
      <c r="P24" s="146"/>
      <c r="Q24" s="146"/>
      <c r="R24" s="146"/>
      <c r="S24" s="146"/>
      <c r="T24" s="146"/>
      <c r="U24" s="146"/>
      <c r="V24" s="146"/>
      <c r="W24" s="146"/>
      <c r="X24" s="146"/>
      <c r="Y24" s="146"/>
    </row>
    <row r="25" spans="1:25" ht="15" thickBot="1">
      <c r="A25" s="146"/>
      <c r="B25" s="8"/>
      <c r="C25" s="8"/>
      <c r="D25" s="8"/>
      <c r="E25" s="8"/>
      <c r="F25" s="8"/>
      <c r="G25" s="8"/>
      <c r="H25" s="8"/>
      <c r="I25" s="146"/>
      <c r="J25" s="146"/>
      <c r="P25" s="146"/>
      <c r="Q25" s="146"/>
      <c r="R25" s="146"/>
      <c r="S25" s="146"/>
      <c r="T25" s="146"/>
      <c r="U25" s="146"/>
      <c r="V25" s="146"/>
      <c r="W25" s="146"/>
      <c r="X25" s="146"/>
    </row>
    <row r="26" spans="1:25" s="384" customFormat="1" ht="26.85" customHeight="1">
      <c r="A26" s="378"/>
      <c r="B26" s="964" t="s">
        <v>486</v>
      </c>
      <c r="C26" s="964"/>
      <c r="D26" s="402" t="s">
        <v>541</v>
      </c>
      <c r="E26" s="402" t="s">
        <v>532</v>
      </c>
      <c r="F26" s="403" t="s">
        <v>535</v>
      </c>
      <c r="G26" s="12"/>
      <c r="H26" s="421"/>
      <c r="I26" s="378"/>
      <c r="J26" s="378"/>
      <c r="P26" s="378"/>
      <c r="Q26" s="378"/>
      <c r="R26" s="378"/>
      <c r="S26" s="378"/>
      <c r="T26" s="378"/>
      <c r="U26" s="378"/>
      <c r="V26" s="378"/>
      <c r="W26" s="378"/>
      <c r="X26" s="378"/>
    </row>
    <row r="27" spans="1:25" ht="16.5" customHeight="1">
      <c r="A27" s="146"/>
      <c r="B27" s="965" t="s">
        <v>542</v>
      </c>
      <c r="C27" s="965"/>
      <c r="D27" s="433"/>
      <c r="E27" s="434" t="str">
        <f>IFERROR(E24/D27,"")</f>
        <v/>
      </c>
      <c r="F27" s="435" t="str">
        <f>IFERROR(F24/D27,"")</f>
        <v/>
      </c>
      <c r="G27" s="10"/>
      <c r="H27" s="8"/>
      <c r="I27" s="146"/>
      <c r="J27" s="146"/>
      <c r="P27" s="146"/>
      <c r="Q27" s="146"/>
      <c r="R27" s="146"/>
      <c r="S27" s="146"/>
      <c r="T27" s="146"/>
      <c r="U27" s="146"/>
      <c r="V27" s="146"/>
      <c r="W27" s="146"/>
      <c r="X27" s="146"/>
    </row>
    <row r="28" spans="1:25" ht="14.25">
      <c r="A28" s="146"/>
      <c r="B28" s="965" t="s">
        <v>543</v>
      </c>
      <c r="C28" s="965"/>
      <c r="D28" s="436"/>
      <c r="E28" s="434" t="str">
        <f>IFERROR(E25/D28,"")</f>
        <v/>
      </c>
      <c r="F28" s="435" t="str">
        <f>IFERROR(F25/D28,"")</f>
        <v/>
      </c>
      <c r="G28" s="10"/>
      <c r="H28" s="8"/>
      <c r="I28" s="146"/>
      <c r="J28" s="146"/>
      <c r="P28" s="146"/>
      <c r="Q28" s="146"/>
      <c r="R28" s="146"/>
      <c r="S28" s="146"/>
      <c r="T28" s="146"/>
      <c r="U28" s="146"/>
      <c r="V28" s="146"/>
      <c r="W28" s="146"/>
      <c r="X28" s="146"/>
    </row>
    <row r="29" spans="1:25" ht="15" customHeight="1">
      <c r="A29" s="146"/>
      <c r="B29" s="966" t="s">
        <v>544</v>
      </c>
      <c r="C29" s="966"/>
      <c r="D29" s="438"/>
      <c r="E29" s="434" t="str">
        <f>IFERROR(E26/D29,"")</f>
        <v/>
      </c>
      <c r="F29" s="435" t="str">
        <f>IFERROR(F26/D29,"")</f>
        <v/>
      </c>
      <c r="G29" s="10"/>
      <c r="H29" s="8"/>
      <c r="I29" s="146"/>
      <c r="J29" s="146"/>
      <c r="P29" s="146"/>
      <c r="Q29" s="146"/>
      <c r="R29" s="146"/>
      <c r="S29" s="146"/>
      <c r="T29" s="146"/>
      <c r="U29" s="146"/>
      <c r="V29" s="146"/>
      <c r="W29" s="146"/>
      <c r="X29" s="146"/>
    </row>
    <row r="30" spans="1:25" ht="14.25">
      <c r="A30" s="146"/>
      <c r="B30" s="8"/>
      <c r="C30" s="8"/>
      <c r="D30" s="8"/>
      <c r="E30" s="8"/>
      <c r="F30" s="8"/>
      <c r="G30" s="8"/>
      <c r="H30" s="8"/>
      <c r="I30" s="146"/>
      <c r="J30" s="146"/>
      <c r="K30" s="146"/>
      <c r="L30" s="146"/>
      <c r="M30" s="146"/>
      <c r="N30" s="146"/>
      <c r="O30" s="146"/>
      <c r="P30" s="146"/>
      <c r="Q30" s="146"/>
      <c r="R30" s="146"/>
      <c r="S30" s="146"/>
      <c r="T30" s="146"/>
      <c r="U30" s="146"/>
      <c r="V30" s="146"/>
      <c r="W30" s="146"/>
      <c r="X30" s="146"/>
    </row>
    <row r="31" spans="1:25" ht="14.25">
      <c r="A31" s="146"/>
      <c r="B31" s="8"/>
      <c r="C31" s="8"/>
      <c r="D31" s="8"/>
      <c r="E31" s="8"/>
      <c r="F31" s="8"/>
      <c r="G31" s="8"/>
      <c r="H31" s="8"/>
      <c r="I31" s="146"/>
      <c r="J31" s="146"/>
      <c r="K31" s="146"/>
      <c r="L31" s="146"/>
      <c r="M31" s="146"/>
      <c r="N31" s="146"/>
      <c r="O31" s="146"/>
      <c r="P31" s="146"/>
      <c r="Q31" s="146"/>
      <c r="R31" s="146"/>
      <c r="S31" s="146"/>
      <c r="T31" s="146"/>
      <c r="U31" s="146"/>
      <c r="V31" s="146"/>
      <c r="W31" s="146"/>
      <c r="X31" s="146"/>
    </row>
    <row r="32" spans="1:25" s="384" customFormat="1" ht="52.15" customHeight="1">
      <c r="A32" s="378"/>
      <c r="B32" s="974" t="s">
        <v>547</v>
      </c>
      <c r="C32" s="974"/>
      <c r="D32" s="431" t="s">
        <v>548</v>
      </c>
      <c r="E32" s="432" t="s">
        <v>549</v>
      </c>
      <c r="F32" s="432" t="s">
        <v>550</v>
      </c>
      <c r="G32" s="12"/>
      <c r="H32" s="421"/>
      <c r="I32" s="378"/>
      <c r="J32" s="378"/>
      <c r="K32" s="378"/>
      <c r="L32" s="378"/>
      <c r="M32" s="378"/>
      <c r="N32" s="378"/>
      <c r="O32" s="378"/>
      <c r="P32" s="378"/>
      <c r="Q32" s="378"/>
      <c r="R32" s="378"/>
      <c r="S32" s="378"/>
      <c r="T32" s="378"/>
      <c r="U32" s="378"/>
      <c r="V32" s="378"/>
      <c r="W32" s="378"/>
      <c r="X32" s="378"/>
    </row>
    <row r="33" spans="1:24" ht="14.25">
      <c r="A33" s="146"/>
      <c r="B33" s="975" t="s">
        <v>551</v>
      </c>
      <c r="C33" s="975"/>
      <c r="D33" s="433"/>
      <c r="E33" s="439"/>
      <c r="F33" s="435">
        <f>D33/1000*E33</f>
        <v>0</v>
      </c>
      <c r="G33" s="10"/>
      <c r="H33" s="8"/>
      <c r="I33" s="146"/>
      <c r="J33" s="146"/>
      <c r="K33" s="146"/>
      <c r="L33" s="146"/>
      <c r="M33" s="146"/>
      <c r="N33" s="146"/>
      <c r="O33" s="146"/>
      <c r="P33" s="146"/>
      <c r="Q33" s="146"/>
      <c r="R33" s="146"/>
      <c r="S33" s="146"/>
      <c r="T33" s="146"/>
      <c r="U33" s="146"/>
      <c r="V33" s="146"/>
      <c r="W33" s="146"/>
      <c r="X33" s="146"/>
    </row>
    <row r="34" spans="1:24" ht="14.25">
      <c r="A34" s="146"/>
      <c r="B34" s="972" t="s">
        <v>551</v>
      </c>
      <c r="C34" s="972"/>
      <c r="D34" s="436"/>
      <c r="E34" s="440"/>
      <c r="F34" s="437">
        <f>D34/1000*E34</f>
        <v>0</v>
      </c>
      <c r="G34" s="10"/>
      <c r="H34" s="8"/>
      <c r="I34" s="146"/>
      <c r="J34" s="146"/>
      <c r="K34" s="146"/>
      <c r="L34" s="146"/>
      <c r="M34" s="146"/>
      <c r="N34" s="146"/>
      <c r="O34" s="146"/>
      <c r="P34" s="146"/>
      <c r="Q34" s="146"/>
      <c r="R34" s="146"/>
      <c r="S34" s="146"/>
      <c r="T34" s="146"/>
      <c r="U34" s="146"/>
      <c r="V34" s="146"/>
      <c r="W34" s="146"/>
      <c r="X34" s="146"/>
    </row>
    <row r="35" spans="1:24" ht="14.25">
      <c r="A35" s="146"/>
      <c r="B35" s="972" t="s">
        <v>551</v>
      </c>
      <c r="C35" s="972"/>
      <c r="D35" s="436"/>
      <c r="E35" s="440"/>
      <c r="F35" s="437">
        <f>D35/1000*E35</f>
        <v>0</v>
      </c>
      <c r="G35" s="10"/>
      <c r="H35" s="8"/>
      <c r="I35" s="146"/>
      <c r="J35" s="146"/>
      <c r="K35" s="146"/>
      <c r="L35" s="146"/>
      <c r="M35" s="146"/>
      <c r="N35" s="146"/>
      <c r="O35" s="146"/>
      <c r="P35" s="146"/>
      <c r="Q35" s="146"/>
      <c r="R35" s="146"/>
      <c r="S35" s="146"/>
      <c r="T35" s="146"/>
      <c r="U35" s="146"/>
      <c r="V35" s="146"/>
      <c r="W35" s="146"/>
      <c r="X35" s="146"/>
    </row>
    <row r="36" spans="1:24" ht="14.25">
      <c r="A36" s="146"/>
      <c r="B36" s="972" t="s">
        <v>551</v>
      </c>
      <c r="C36" s="972"/>
      <c r="D36" s="441"/>
      <c r="E36" s="442"/>
      <c r="F36" s="437">
        <f>D36/1000*E36</f>
        <v>0</v>
      </c>
      <c r="G36" s="10"/>
      <c r="H36" s="8"/>
      <c r="I36" s="146"/>
      <c r="J36" s="146"/>
      <c r="K36" s="146"/>
      <c r="L36" s="146"/>
      <c r="M36" s="146"/>
      <c r="N36" s="146"/>
      <c r="O36" s="146"/>
      <c r="P36" s="146"/>
      <c r="Q36" s="146"/>
      <c r="R36" s="146"/>
      <c r="S36" s="146"/>
      <c r="T36" s="146"/>
      <c r="U36" s="146"/>
      <c r="V36" s="146"/>
      <c r="W36" s="146"/>
      <c r="X36" s="146"/>
    </row>
    <row r="37" spans="1:24" ht="15">
      <c r="A37" s="146"/>
      <c r="B37" s="973" t="s">
        <v>559</v>
      </c>
      <c r="C37" s="973"/>
      <c r="D37" s="430">
        <f>SUM(D33:D36)</f>
        <v>0</v>
      </c>
      <c r="E37" s="430"/>
      <c r="F37" s="443">
        <f>SUM(F33:F36)</f>
        <v>0</v>
      </c>
      <c r="G37" s="10"/>
      <c r="H37" s="8"/>
      <c r="I37" s="146"/>
      <c r="J37" s="146"/>
      <c r="K37" s="146"/>
      <c r="L37" s="146"/>
      <c r="M37" s="146"/>
      <c r="N37" s="146"/>
      <c r="O37" s="146"/>
      <c r="P37" s="146"/>
      <c r="Q37" s="146"/>
      <c r="R37" s="146"/>
      <c r="S37" s="146"/>
      <c r="T37" s="146"/>
      <c r="U37" s="146"/>
      <c r="V37" s="146"/>
      <c r="W37" s="146"/>
      <c r="X37" s="146"/>
    </row>
    <row r="38" spans="1:24" ht="14.25">
      <c r="A38" s="146"/>
      <c r="B38" s="8"/>
      <c r="C38" s="8"/>
      <c r="D38" s="8"/>
      <c r="E38" s="8"/>
      <c r="F38" s="8"/>
      <c r="G38" s="8"/>
      <c r="H38" s="8"/>
      <c r="I38" s="146"/>
      <c r="J38" s="146"/>
      <c r="K38" s="146"/>
      <c r="L38" s="146"/>
      <c r="M38" s="146"/>
      <c r="N38" s="146"/>
      <c r="O38" s="146"/>
      <c r="P38" s="146"/>
      <c r="Q38" s="146"/>
      <c r="R38" s="146"/>
      <c r="S38" s="146"/>
      <c r="T38" s="146"/>
      <c r="U38" s="146"/>
      <c r="V38" s="146"/>
      <c r="W38" s="146"/>
      <c r="X38" s="146"/>
    </row>
    <row r="39" spans="1:24" ht="14.25">
      <c r="A39" s="146"/>
      <c r="B39" s="8"/>
      <c r="C39" s="8"/>
      <c r="D39" s="8"/>
      <c r="E39" s="8"/>
      <c r="F39" s="8"/>
      <c r="G39" s="8"/>
      <c r="H39" s="8"/>
      <c r="I39" s="146"/>
      <c r="J39" s="146"/>
      <c r="K39" s="146"/>
      <c r="L39" s="146"/>
      <c r="M39" s="146"/>
      <c r="N39" s="146"/>
      <c r="O39" s="146"/>
      <c r="P39" s="146"/>
      <c r="Q39" s="146"/>
      <c r="R39" s="146"/>
      <c r="S39" s="146"/>
      <c r="T39" s="146"/>
      <c r="U39" s="146"/>
      <c r="V39" s="146"/>
      <c r="W39" s="146"/>
      <c r="X39" s="146"/>
    </row>
    <row r="40" spans="1:24" ht="14.25">
      <c r="A40" s="146"/>
      <c r="B40" s="415" t="s">
        <v>490</v>
      </c>
      <c r="C40" s="414">
        <v>1</v>
      </c>
      <c r="D40" s="971"/>
      <c r="E40" s="971"/>
      <c r="F40" s="971"/>
      <c r="G40" s="971"/>
      <c r="H40" s="8"/>
      <c r="I40" s="146"/>
      <c r="J40" s="146"/>
      <c r="K40" s="146"/>
      <c r="L40" s="146"/>
      <c r="M40" s="146"/>
      <c r="N40" s="146"/>
      <c r="O40" s="146"/>
      <c r="P40" s="146"/>
      <c r="Q40" s="146"/>
      <c r="R40" s="146"/>
      <c r="S40" s="146"/>
      <c r="T40" s="146"/>
      <c r="U40" s="146"/>
      <c r="V40" s="146"/>
      <c r="W40" s="146"/>
      <c r="X40" s="146"/>
    </row>
    <row r="41" spans="1:24" ht="14.25">
      <c r="A41" s="146"/>
      <c r="B41" s="415"/>
      <c r="C41" s="414">
        <v>2</v>
      </c>
      <c r="D41" s="971"/>
      <c r="E41" s="971"/>
      <c r="F41" s="971"/>
      <c r="G41" s="971"/>
      <c r="H41" s="8"/>
      <c r="I41" s="146"/>
      <c r="J41" s="146"/>
      <c r="K41" s="146"/>
      <c r="L41" s="146"/>
      <c r="M41" s="146"/>
      <c r="N41" s="146"/>
      <c r="O41" s="146"/>
      <c r="P41" s="146"/>
      <c r="Q41" s="146"/>
      <c r="R41" s="146"/>
      <c r="S41" s="146"/>
      <c r="T41" s="146"/>
      <c r="U41" s="146"/>
      <c r="V41" s="146"/>
      <c r="W41" s="146"/>
      <c r="X41" s="146"/>
    </row>
    <row r="42" spans="1:24" ht="14.25">
      <c r="A42" s="146"/>
      <c r="B42" s="415"/>
      <c r="C42" s="414">
        <v>3</v>
      </c>
      <c r="D42" s="971"/>
      <c r="E42" s="971"/>
      <c r="F42" s="971"/>
      <c r="G42" s="971"/>
      <c r="H42" s="8"/>
      <c r="I42" s="146"/>
      <c r="J42" s="146"/>
      <c r="K42" s="146"/>
      <c r="L42" s="146"/>
      <c r="M42" s="146"/>
      <c r="N42" s="146"/>
      <c r="O42" s="146"/>
      <c r="P42" s="146"/>
      <c r="Q42" s="146"/>
      <c r="R42" s="146"/>
      <c r="S42" s="146"/>
      <c r="T42" s="146"/>
      <c r="U42" s="146"/>
      <c r="V42" s="146"/>
      <c r="W42" s="146"/>
      <c r="X42" s="146"/>
    </row>
    <row r="43" spans="1:24">
      <c r="A43" s="146"/>
      <c r="B43" s="146"/>
      <c r="C43" s="146"/>
      <c r="D43" s="146"/>
      <c r="E43" s="146"/>
      <c r="F43" s="146"/>
      <c r="G43" s="146"/>
      <c r="H43" s="146"/>
      <c r="I43" s="146"/>
      <c r="J43" s="146"/>
      <c r="K43" s="146"/>
      <c r="L43" s="146"/>
      <c r="M43" s="146"/>
      <c r="N43" s="146"/>
      <c r="O43" s="146"/>
      <c r="P43" s="146"/>
      <c r="Q43" s="146"/>
      <c r="R43" s="146"/>
      <c r="S43" s="146"/>
      <c r="T43" s="146"/>
      <c r="U43" s="146"/>
      <c r="V43" s="146"/>
      <c r="W43" s="146"/>
      <c r="X43" s="146"/>
    </row>
    <row r="44" spans="1:24">
      <c r="A44" s="146"/>
      <c r="B44" s="146"/>
      <c r="C44" s="146"/>
      <c r="D44" s="146"/>
      <c r="E44" s="146"/>
      <c r="F44" s="146"/>
      <c r="G44" s="146"/>
      <c r="H44" s="146"/>
      <c r="I44" s="146"/>
      <c r="J44" s="146"/>
      <c r="K44" s="146"/>
      <c r="L44" s="146"/>
      <c r="M44" s="146"/>
      <c r="N44" s="146"/>
      <c r="O44" s="146"/>
      <c r="P44" s="146"/>
      <c r="Q44" s="146"/>
      <c r="R44" s="146"/>
      <c r="S44" s="146"/>
      <c r="T44" s="146"/>
      <c r="U44" s="146"/>
      <c r="V44" s="146"/>
      <c r="W44" s="146"/>
      <c r="X44" s="146"/>
    </row>
    <row r="45" spans="1:24">
      <c r="A45" s="146"/>
      <c r="B45" s="146"/>
      <c r="C45" s="146"/>
      <c r="D45" s="146"/>
      <c r="E45" s="146"/>
      <c r="F45" s="146"/>
      <c r="G45" s="146"/>
      <c r="H45" s="146"/>
      <c r="I45" s="146"/>
      <c r="J45" s="146"/>
      <c r="K45" s="146"/>
      <c r="L45" s="146"/>
      <c r="M45" s="146"/>
      <c r="N45" s="146"/>
      <c r="O45" s="146"/>
      <c r="P45" s="146"/>
      <c r="Q45" s="146"/>
      <c r="R45" s="146"/>
      <c r="S45" s="146"/>
      <c r="T45" s="146"/>
      <c r="U45" s="146"/>
      <c r="V45" s="146"/>
      <c r="W45" s="146"/>
      <c r="X45" s="146"/>
    </row>
    <row r="46" spans="1:24">
      <c r="A46" s="146"/>
      <c r="B46" s="146"/>
      <c r="C46" s="146"/>
      <c r="D46" s="146"/>
      <c r="E46" s="146"/>
      <c r="F46" s="146"/>
      <c r="G46" s="146"/>
      <c r="H46" s="146"/>
      <c r="I46" s="146"/>
      <c r="J46" s="146"/>
      <c r="K46" s="146"/>
      <c r="L46" s="146"/>
      <c r="M46" s="146"/>
      <c r="N46" s="146"/>
      <c r="O46" s="146"/>
      <c r="P46" s="146"/>
      <c r="Q46" s="146"/>
      <c r="R46" s="146"/>
      <c r="S46" s="146"/>
      <c r="T46" s="146"/>
      <c r="U46" s="146"/>
      <c r="V46" s="146"/>
      <c r="W46" s="146"/>
      <c r="X46" s="146"/>
    </row>
    <row r="47" spans="1:24">
      <c r="A47" s="146"/>
      <c r="B47" s="325" t="s">
        <v>552</v>
      </c>
      <c r="C47" s="146"/>
      <c r="D47" s="146"/>
      <c r="E47" s="146"/>
      <c r="F47" s="146"/>
      <c r="G47" s="146"/>
      <c r="H47" s="146"/>
      <c r="I47" s="146"/>
      <c r="J47" s="146"/>
      <c r="K47" s="146"/>
      <c r="L47" s="146"/>
      <c r="M47" s="146"/>
      <c r="N47" s="146"/>
      <c r="O47" s="146"/>
      <c r="P47" s="146"/>
      <c r="Q47" s="146"/>
      <c r="R47" s="146"/>
      <c r="S47" s="146"/>
      <c r="T47" s="146"/>
      <c r="U47" s="146"/>
      <c r="V47" s="146"/>
      <c r="W47" s="146"/>
      <c r="X47" s="146"/>
    </row>
    <row r="48" spans="1:24">
      <c r="A48" s="146"/>
      <c r="B48" s="838" t="s">
        <v>551</v>
      </c>
      <c r="C48" s="445">
        <v>0</v>
      </c>
      <c r="D48" s="146"/>
      <c r="E48" s="146"/>
      <c r="F48" s="146"/>
      <c r="G48" s="146"/>
      <c r="H48" s="146"/>
      <c r="I48" s="146"/>
      <c r="J48" s="146"/>
      <c r="K48" s="146"/>
      <c r="L48" s="146"/>
      <c r="M48" s="146"/>
      <c r="N48" s="146"/>
      <c r="O48" s="146"/>
      <c r="P48" s="146"/>
      <c r="Q48" s="146"/>
      <c r="R48" s="146"/>
      <c r="S48" s="146"/>
      <c r="T48" s="146"/>
      <c r="U48" s="146"/>
      <c r="V48" s="146"/>
      <c r="W48" s="146"/>
      <c r="X48" s="146"/>
    </row>
    <row r="49" spans="1:24">
      <c r="A49" s="146"/>
      <c r="B49" s="838" t="s">
        <v>553</v>
      </c>
      <c r="C49" s="445">
        <v>1</v>
      </c>
      <c r="D49" s="146"/>
      <c r="E49" s="146"/>
      <c r="F49" s="146"/>
      <c r="G49" s="146"/>
      <c r="H49" s="146"/>
      <c r="I49" s="146"/>
      <c r="J49" s="146"/>
      <c r="K49" s="146"/>
      <c r="L49" s="146"/>
      <c r="M49" s="146"/>
      <c r="N49" s="146"/>
      <c r="O49" s="146"/>
      <c r="P49" s="146"/>
      <c r="Q49" s="146"/>
      <c r="R49" s="146"/>
      <c r="S49" s="146"/>
      <c r="T49" s="146"/>
      <c r="U49" s="146"/>
      <c r="V49" s="146"/>
      <c r="W49" s="146"/>
      <c r="X49" s="146"/>
    </row>
    <row r="50" spans="1:24">
      <c r="A50" s="146"/>
      <c r="B50" s="838" t="s">
        <v>554</v>
      </c>
      <c r="C50" s="445">
        <v>21</v>
      </c>
      <c r="D50" s="146"/>
      <c r="E50" s="146"/>
      <c r="F50" s="146"/>
      <c r="G50" s="146"/>
      <c r="H50" s="146"/>
      <c r="I50" s="146"/>
      <c r="J50" s="146"/>
      <c r="K50" s="146"/>
      <c r="L50" s="146"/>
      <c r="M50" s="146"/>
      <c r="N50" s="146"/>
      <c r="O50" s="146"/>
      <c r="P50" s="146"/>
      <c r="Q50" s="146"/>
      <c r="R50" s="146"/>
      <c r="S50" s="146"/>
      <c r="T50" s="146"/>
      <c r="U50" s="146"/>
      <c r="V50" s="146"/>
      <c r="W50" s="146"/>
      <c r="X50" s="146"/>
    </row>
    <row r="51" spans="1:24">
      <c r="A51" s="146"/>
      <c r="B51" s="838" t="s">
        <v>555</v>
      </c>
      <c r="C51" s="445">
        <v>310</v>
      </c>
      <c r="D51" s="146"/>
      <c r="E51" s="146"/>
      <c r="F51" s="146"/>
      <c r="G51" s="146"/>
      <c r="H51" s="146"/>
      <c r="I51" s="146"/>
      <c r="J51" s="146"/>
      <c r="K51" s="146"/>
      <c r="L51" s="146"/>
      <c r="M51" s="146"/>
      <c r="N51" s="146"/>
      <c r="O51" s="146"/>
      <c r="P51" s="146"/>
      <c r="Q51" s="146"/>
      <c r="R51" s="146"/>
      <c r="S51" s="146"/>
      <c r="T51" s="146"/>
      <c r="U51" s="146"/>
      <c r="V51" s="146"/>
      <c r="W51" s="146"/>
      <c r="X51" s="146"/>
    </row>
    <row r="52" spans="1:24">
      <c r="A52" s="146"/>
      <c r="B52" s="444" t="s">
        <v>57</v>
      </c>
      <c r="C52" s="445">
        <v>11700</v>
      </c>
      <c r="D52" s="146"/>
      <c r="E52" s="146"/>
      <c r="F52" s="146"/>
      <c r="G52" s="146"/>
      <c r="H52" s="146"/>
      <c r="I52" s="146"/>
      <c r="J52" s="146"/>
      <c r="K52" s="146"/>
      <c r="L52" s="146"/>
      <c r="M52" s="146"/>
      <c r="N52" s="146"/>
      <c r="O52" s="146"/>
      <c r="P52" s="146"/>
      <c r="Q52" s="146"/>
      <c r="R52" s="146"/>
      <c r="S52" s="146"/>
      <c r="T52" s="146"/>
      <c r="U52" s="146"/>
      <c r="V52" s="146"/>
      <c r="W52" s="146"/>
      <c r="X52" s="146"/>
    </row>
    <row r="53" spans="1:24">
      <c r="A53" s="146"/>
      <c r="B53" s="444" t="s">
        <v>58</v>
      </c>
      <c r="C53" s="445">
        <v>2800</v>
      </c>
      <c r="D53" s="146"/>
      <c r="E53" s="146"/>
      <c r="F53" s="146"/>
      <c r="G53" s="146"/>
      <c r="H53" s="146"/>
      <c r="I53" s="146"/>
      <c r="J53" s="146"/>
      <c r="K53" s="146"/>
      <c r="L53" s="146"/>
      <c r="M53" s="146"/>
      <c r="N53" s="146"/>
      <c r="O53" s="146"/>
      <c r="P53" s="146"/>
      <c r="Q53" s="146"/>
      <c r="R53" s="146"/>
      <c r="S53" s="146"/>
      <c r="T53" s="146"/>
      <c r="U53" s="146"/>
      <c r="V53" s="146"/>
      <c r="W53" s="146"/>
      <c r="X53" s="146"/>
    </row>
    <row r="54" spans="1:24">
      <c r="A54" s="146"/>
      <c r="B54" s="446" t="s">
        <v>56</v>
      </c>
      <c r="C54" s="447">
        <v>1300</v>
      </c>
    </row>
    <row r="55" spans="1:24">
      <c r="A55" s="146"/>
      <c r="B55" s="446" t="s">
        <v>59</v>
      </c>
      <c r="C55" s="447">
        <v>3800</v>
      </c>
    </row>
    <row r="56" spans="1:24">
      <c r="A56" s="146"/>
      <c r="B56" s="446" t="s">
        <v>60</v>
      </c>
      <c r="C56" s="447">
        <v>140</v>
      </c>
    </row>
    <row r="57" spans="1:24">
      <c r="A57" s="146"/>
      <c r="B57" s="446" t="s">
        <v>61</v>
      </c>
      <c r="C57" s="447">
        <v>2900</v>
      </c>
    </row>
    <row r="58" spans="1:24">
      <c r="A58" s="146"/>
      <c r="B58" s="446" t="s">
        <v>62</v>
      </c>
      <c r="C58" s="447">
        <v>6300</v>
      </c>
    </row>
    <row r="59" spans="1:24">
      <c r="A59" s="146"/>
      <c r="B59" s="446" t="s">
        <v>63</v>
      </c>
      <c r="C59" s="447">
        <v>1300</v>
      </c>
    </row>
    <row r="60" spans="1:24">
      <c r="A60" s="146"/>
      <c r="B60" s="839" t="s">
        <v>556</v>
      </c>
      <c r="C60" s="447">
        <v>6500</v>
      </c>
    </row>
    <row r="61" spans="1:24">
      <c r="A61" s="146"/>
      <c r="B61" s="839" t="s">
        <v>557</v>
      </c>
      <c r="C61" s="447">
        <v>9200</v>
      </c>
    </row>
    <row r="62" spans="1:24">
      <c r="A62" s="146"/>
      <c r="B62" s="446" t="s">
        <v>64</v>
      </c>
      <c r="C62" s="447">
        <v>7000</v>
      </c>
    </row>
    <row r="63" spans="1:24">
      <c r="A63" s="146"/>
      <c r="B63" s="446" t="s">
        <v>65</v>
      </c>
      <c r="C63" s="447">
        <v>7000</v>
      </c>
    </row>
    <row r="64" spans="1:24">
      <c r="A64" s="146"/>
      <c r="B64" s="446" t="s">
        <v>66</v>
      </c>
      <c r="C64" s="447">
        <v>7500</v>
      </c>
    </row>
    <row r="65" spans="1:6">
      <c r="A65" s="146"/>
      <c r="B65" s="446" t="s">
        <v>67</v>
      </c>
      <c r="C65" s="447">
        <v>7400</v>
      </c>
    </row>
    <row r="66" spans="1:6">
      <c r="A66" s="146"/>
      <c r="B66" s="839" t="s">
        <v>558</v>
      </c>
      <c r="C66" s="447">
        <v>23900</v>
      </c>
    </row>
    <row r="67" spans="1:6">
      <c r="A67" s="146"/>
      <c r="F67" s="448"/>
    </row>
  </sheetData>
  <mergeCells count="17">
    <mergeCell ref="B26:C26"/>
    <mergeCell ref="B27:C27"/>
    <mergeCell ref="B28:C28"/>
    <mergeCell ref="B29:C29"/>
    <mergeCell ref="D1:H1"/>
    <mergeCell ref="B3:H3"/>
    <mergeCell ref="C6:H6"/>
    <mergeCell ref="C7:H7"/>
    <mergeCell ref="D42:G42"/>
    <mergeCell ref="B36:C36"/>
    <mergeCell ref="B37:C37"/>
    <mergeCell ref="D40:G40"/>
    <mergeCell ref="D41:G41"/>
    <mergeCell ref="B32:C32"/>
    <mergeCell ref="B33:C33"/>
    <mergeCell ref="B34:C34"/>
    <mergeCell ref="B35:C35"/>
  </mergeCells>
  <phoneticPr fontId="37" type="noConversion"/>
  <dataValidations count="1">
    <dataValidation type="list" operator="equal" allowBlank="1" showErrorMessage="1" sqref="B33:C36">
      <formula1>$B$48:$B$66</formula1>
      <formula2>0</formula2>
    </dataValidation>
  </dataValidations>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BF52"/>
  <sheetViews>
    <sheetView topLeftCell="H1" workbookViewId="0">
      <selection activeCell="G9" sqref="G9"/>
    </sheetView>
  </sheetViews>
  <sheetFormatPr defaultRowHeight="12.75"/>
  <cols>
    <col min="1" max="1" width="4.1640625" customWidth="1"/>
    <col min="2" max="2" width="28.33203125" customWidth="1"/>
    <col min="3" max="3" width="8.6640625" customWidth="1"/>
    <col min="4" max="4" width="12.33203125" customWidth="1"/>
    <col min="5" max="5" width="12" customWidth="1"/>
    <col min="6" max="6" width="14.6640625" customWidth="1"/>
    <col min="7" max="7" width="14.33203125" customWidth="1"/>
    <col min="8" max="9" width="12.33203125" customWidth="1"/>
    <col min="10" max="10" width="17" customWidth="1"/>
    <col min="11" max="11" width="13.83203125" customWidth="1"/>
    <col min="12" max="12" width="18.83203125" customWidth="1"/>
    <col min="16" max="16" width="3.33203125" customWidth="1"/>
    <col min="17" max="17" width="33.83203125" customWidth="1"/>
    <col min="18" max="18" width="10" customWidth="1"/>
    <col min="19" max="19" width="10.33203125" customWidth="1"/>
    <col min="20" max="21" width="10.1640625" customWidth="1"/>
    <col min="22" max="22" width="8.6640625" customWidth="1"/>
    <col min="23" max="23" width="9.6640625" customWidth="1"/>
    <col min="24" max="24" width="12.1640625" customWidth="1"/>
  </cols>
  <sheetData>
    <row r="1" spans="1:58" s="144" customFormat="1" ht="14.25">
      <c r="A1" s="138"/>
      <c r="B1" s="373" t="s">
        <v>35</v>
      </c>
      <c r="C1" s="373"/>
      <c r="D1" s="373"/>
      <c r="E1" s="138"/>
      <c r="G1" s="374" t="str">
        <f>Ogolne!D5</f>
        <v>Bydgoszcz</v>
      </c>
      <c r="H1" s="374"/>
      <c r="I1" s="374"/>
      <c r="J1" s="374"/>
      <c r="K1" s="374"/>
      <c r="L1" s="374"/>
      <c r="M1" s="374"/>
      <c r="N1" s="374"/>
      <c r="O1" s="374"/>
      <c r="P1" s="140"/>
      <c r="Q1" s="140"/>
      <c r="R1" s="140"/>
      <c r="S1" s="140"/>
      <c r="T1" s="140"/>
      <c r="U1" s="140"/>
      <c r="V1" s="141"/>
      <c r="W1" s="141"/>
      <c r="X1" s="140"/>
      <c r="Y1" s="140"/>
      <c r="Z1" s="140"/>
      <c r="AA1" s="140"/>
      <c r="AB1" s="140"/>
      <c r="AC1" s="140"/>
      <c r="AD1" s="140"/>
      <c r="AE1" s="140"/>
      <c r="AF1" s="140"/>
      <c r="AG1" s="140"/>
      <c r="AH1" s="140"/>
      <c r="AI1" s="138"/>
      <c r="AJ1" s="138"/>
      <c r="AK1" s="138"/>
      <c r="AL1" s="138"/>
      <c r="AM1" s="138"/>
      <c r="AN1" s="138"/>
      <c r="AO1" s="138"/>
      <c r="AP1" s="138"/>
      <c r="AQ1" s="142"/>
      <c r="AR1" s="142"/>
      <c r="AS1" s="142"/>
      <c r="AT1" s="142"/>
      <c r="AU1" s="142"/>
      <c r="AV1" s="142"/>
      <c r="AW1" s="138"/>
      <c r="AX1" s="143"/>
      <c r="AY1" s="138"/>
      <c r="AZ1" s="138"/>
      <c r="BA1" s="138"/>
      <c r="BB1" s="138"/>
      <c r="BC1" s="138"/>
      <c r="BD1" s="138"/>
      <c r="BE1" s="138"/>
      <c r="BF1" s="138"/>
    </row>
    <row r="2" spans="1:58">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row>
    <row r="3" spans="1:58" ht="26.25">
      <c r="A3" s="146"/>
      <c r="B3" s="934" t="s">
        <v>68</v>
      </c>
      <c r="C3" s="934"/>
      <c r="D3" s="934"/>
      <c r="E3" s="934"/>
      <c r="F3" s="934"/>
      <c r="G3" s="934"/>
      <c r="H3" s="934"/>
      <c r="I3" s="934"/>
      <c r="J3" s="934"/>
      <c r="K3" s="934"/>
      <c r="L3" s="934"/>
      <c r="M3" s="374"/>
      <c r="N3" s="374"/>
      <c r="O3" s="374"/>
      <c r="P3" s="146"/>
      <c r="R3" s="146"/>
      <c r="S3" s="146"/>
      <c r="T3" s="146"/>
      <c r="U3" s="146"/>
      <c r="V3" s="146"/>
      <c r="W3" s="146"/>
      <c r="X3" s="146"/>
      <c r="Y3" s="146"/>
      <c r="Z3" s="146"/>
    </row>
    <row r="4" spans="1:58" ht="15.75">
      <c r="A4" s="146"/>
      <c r="B4" s="325"/>
      <c r="C4" s="149" t="s">
        <v>53</v>
      </c>
      <c r="D4" s="376">
        <f>comyear</f>
        <v>2005</v>
      </c>
      <c r="E4" s="146"/>
      <c r="F4" s="146"/>
      <c r="G4" s="449" t="s">
        <v>69</v>
      </c>
      <c r="H4" s="146"/>
      <c r="I4" s="146"/>
      <c r="J4" s="146"/>
      <c r="K4" s="146"/>
      <c r="L4" s="146"/>
      <c r="M4" s="146"/>
      <c r="N4" s="146"/>
      <c r="O4" s="146"/>
      <c r="P4" s="146"/>
      <c r="Q4" s="146"/>
      <c r="R4" s="146"/>
      <c r="S4" s="146"/>
      <c r="T4" s="146"/>
      <c r="U4" s="146"/>
      <c r="V4" s="146"/>
      <c r="W4" s="146"/>
      <c r="X4" s="146"/>
      <c r="Y4" s="146"/>
      <c r="Z4" s="146"/>
    </row>
    <row r="5" spans="1:58">
      <c r="A5" s="146"/>
      <c r="B5" s="146"/>
      <c r="C5" s="146"/>
      <c r="D5" s="146"/>
      <c r="F5" s="146"/>
      <c r="G5" s="146"/>
      <c r="H5" s="146"/>
      <c r="I5" s="146"/>
      <c r="J5" s="146"/>
      <c r="K5" s="146"/>
      <c r="L5" s="146"/>
      <c r="M5" s="146"/>
      <c r="N5" s="146"/>
      <c r="O5" s="146"/>
      <c r="P5" s="146"/>
      <c r="Q5" s="146"/>
      <c r="R5" s="146"/>
      <c r="S5" s="146"/>
      <c r="T5" s="146"/>
      <c r="U5" s="146"/>
      <c r="V5" s="146"/>
      <c r="W5" s="146"/>
      <c r="X5" s="146"/>
      <c r="Y5" s="146"/>
      <c r="Z5" s="146"/>
    </row>
    <row r="6" spans="1:58" ht="15">
      <c r="A6" s="146"/>
      <c r="B6" s="450" t="s">
        <v>38</v>
      </c>
      <c r="C6" s="978" t="s">
        <v>70</v>
      </c>
      <c r="D6" s="978"/>
      <c r="E6" s="978"/>
      <c r="F6" s="978"/>
      <c r="G6" s="978"/>
      <c r="H6" s="978"/>
      <c r="I6" s="978"/>
      <c r="J6" s="978"/>
      <c r="K6" s="978"/>
      <c r="L6" s="978"/>
      <c r="M6" s="374"/>
      <c r="N6" s="374"/>
      <c r="O6" s="374"/>
      <c r="P6" s="146"/>
      <c r="Q6" s="146"/>
      <c r="R6" s="146"/>
      <c r="S6" s="146"/>
      <c r="T6" s="146"/>
      <c r="U6" s="146"/>
      <c r="V6" s="146"/>
      <c r="W6" s="146"/>
      <c r="X6" s="146"/>
      <c r="Y6" s="146"/>
      <c r="Z6" s="146"/>
    </row>
    <row r="7" spans="1:58" ht="15.75" customHeight="1">
      <c r="A7" s="146"/>
      <c r="B7" s="451" t="s">
        <v>71</v>
      </c>
      <c r="C7" s="979" t="s">
        <v>72</v>
      </c>
      <c r="D7" s="979"/>
      <c r="E7" s="979"/>
      <c r="F7" s="979"/>
      <c r="G7" s="979"/>
      <c r="H7" s="979"/>
      <c r="I7" s="979"/>
      <c r="J7" s="979"/>
      <c r="K7" s="979"/>
      <c r="L7" s="979"/>
      <c r="M7" s="979"/>
      <c r="N7" s="374"/>
      <c r="O7" s="374"/>
      <c r="P7" s="146"/>
      <c r="Q7" s="146"/>
      <c r="R7" s="146"/>
      <c r="S7" s="146"/>
      <c r="T7" s="146"/>
      <c r="U7" s="146"/>
      <c r="V7" s="146"/>
      <c r="W7" s="146"/>
      <c r="X7" s="146"/>
      <c r="Y7" s="146"/>
      <c r="Z7" s="146"/>
    </row>
    <row r="8" spans="1:58">
      <c r="A8" s="146"/>
      <c r="B8" s="146"/>
      <c r="C8" s="146"/>
      <c r="D8" s="146"/>
      <c r="E8" s="146"/>
      <c r="F8" s="146"/>
      <c r="G8" s="146"/>
      <c r="H8" s="146"/>
      <c r="I8" s="146"/>
      <c r="L8" s="146"/>
      <c r="M8" s="146"/>
      <c r="N8" s="146"/>
      <c r="O8" s="146"/>
      <c r="P8" s="146"/>
      <c r="Q8" s="146"/>
      <c r="R8" s="146"/>
      <c r="S8" s="146"/>
      <c r="T8" s="146"/>
      <c r="U8" s="146"/>
      <c r="V8" s="146"/>
      <c r="W8" s="146"/>
      <c r="X8" s="146"/>
      <c r="Y8" s="146"/>
      <c r="Z8" s="146"/>
    </row>
    <row r="9" spans="1:58" s="10" customFormat="1" ht="15">
      <c r="A9" s="8"/>
      <c r="B9" s="452" t="s">
        <v>73</v>
      </c>
      <c r="C9" s="452"/>
      <c r="D9" s="452"/>
      <c r="E9" s="452"/>
      <c r="F9" s="452"/>
      <c r="G9" s="453">
        <v>0</v>
      </c>
      <c r="H9" s="8"/>
      <c r="I9" s="8"/>
      <c r="J9" s="8"/>
      <c r="K9" s="8"/>
      <c r="L9" s="8"/>
      <c r="M9" s="8"/>
      <c r="N9" s="146"/>
      <c r="O9" s="146"/>
      <c r="P9" s="8"/>
      <c r="Q9" s="454" t="s">
        <v>74</v>
      </c>
      <c r="R9" s="9"/>
      <c r="S9" s="9"/>
      <c r="T9" s="9"/>
      <c r="U9" s="9"/>
      <c r="V9" s="9"/>
      <c r="W9" s="9"/>
      <c r="X9" s="455"/>
      <c r="Y9" s="455"/>
      <c r="Z9" s="455"/>
    </row>
    <row r="10" spans="1:58" s="10" customFormat="1" ht="14.25">
      <c r="A10" s="8"/>
      <c r="B10" s="8"/>
      <c r="C10" s="8"/>
      <c r="D10" s="8"/>
      <c r="E10" s="8"/>
      <c r="F10" s="8"/>
      <c r="G10" s="8"/>
      <c r="H10" s="8"/>
      <c r="I10" s="8"/>
      <c r="J10" s="8" t="s">
        <v>75</v>
      </c>
      <c r="K10" s="8"/>
      <c r="L10" s="8"/>
      <c r="M10" s="8"/>
      <c r="N10" s="146"/>
      <c r="O10" s="146"/>
      <c r="P10" s="8"/>
      <c r="Q10" s="8"/>
      <c r="R10" s="8"/>
      <c r="S10" s="8"/>
      <c r="T10" s="8"/>
      <c r="U10" s="8"/>
      <c r="V10" s="8"/>
      <c r="W10" s="8"/>
      <c r="X10" s="8"/>
      <c r="Y10" s="8"/>
      <c r="Z10" s="8"/>
    </row>
    <row r="11" spans="1:58" s="10" customFormat="1" ht="15">
      <c r="A11" s="8"/>
      <c r="B11" s="50" t="s">
        <v>76</v>
      </c>
      <c r="C11" s="50"/>
      <c r="D11" s="50"/>
      <c r="E11" s="8"/>
      <c r="F11" s="8"/>
      <c r="G11" s="8"/>
      <c r="H11" s="8"/>
      <c r="I11" s="8"/>
      <c r="J11" s="8"/>
      <c r="K11" s="8"/>
      <c r="L11" s="8"/>
      <c r="M11" s="8"/>
      <c r="N11" s="146"/>
      <c r="O11" s="146"/>
      <c r="P11" s="8"/>
      <c r="Q11" s="50" t="s">
        <v>77</v>
      </c>
      <c r="R11" s="50"/>
      <c r="S11" s="8"/>
      <c r="T11" s="8"/>
      <c r="U11" s="8"/>
      <c r="V11" s="8"/>
      <c r="W11" s="8"/>
      <c r="X11" s="8"/>
      <c r="Y11" s="8"/>
      <c r="Z11" s="8"/>
    </row>
    <row r="12" spans="1:58" s="10" customFormat="1" ht="45">
      <c r="A12" s="8"/>
      <c r="B12" s="456"/>
      <c r="C12" s="457" t="s">
        <v>78</v>
      </c>
      <c r="D12" s="457" t="s">
        <v>79</v>
      </c>
      <c r="E12" s="458" t="s">
        <v>80</v>
      </c>
      <c r="F12" s="458" t="s">
        <v>81</v>
      </c>
      <c r="G12" s="458" t="s">
        <v>82</v>
      </c>
      <c r="H12" s="458" t="s">
        <v>83</v>
      </c>
      <c r="I12" s="459" t="s">
        <v>84</v>
      </c>
      <c r="J12" s="460" t="s">
        <v>85</v>
      </c>
      <c r="K12" s="461" t="s">
        <v>54</v>
      </c>
      <c r="L12" s="462" t="s">
        <v>86</v>
      </c>
      <c r="M12" s="463" t="s">
        <v>55</v>
      </c>
      <c r="N12" s="146"/>
      <c r="O12" s="146"/>
      <c r="Q12" s="456"/>
      <c r="R12" s="457" t="s">
        <v>87</v>
      </c>
      <c r="S12" s="464" t="s">
        <v>88</v>
      </c>
      <c r="T12" s="458" t="s">
        <v>89</v>
      </c>
      <c r="U12" s="458" t="s">
        <v>90</v>
      </c>
      <c r="V12" s="464" t="s">
        <v>91</v>
      </c>
      <c r="W12" s="465" t="s">
        <v>92</v>
      </c>
      <c r="X12" s="466" t="s">
        <v>37</v>
      </c>
      <c r="Y12" s="8"/>
      <c r="Z12" s="8"/>
    </row>
    <row r="13" spans="1:58" s="10" customFormat="1" ht="15">
      <c r="A13" s="8"/>
      <c r="B13" s="385" t="s">
        <v>48</v>
      </c>
      <c r="C13" s="467"/>
      <c r="D13" s="389">
        <f>($G$9*R13*R26/100*'Wskazniki emisji paliw'!$L$19)</f>
        <v>0</v>
      </c>
      <c r="E13" s="389">
        <f>($G$9*S13*S26/100*'Wskazniki emisji paliw'!$L$19)</f>
        <v>0</v>
      </c>
      <c r="F13" s="389">
        <f>($G$9*T13*T26/100*'Wskazniki emisji paliw'!$L$19)</f>
        <v>0</v>
      </c>
      <c r="G13" s="389">
        <f>($G$9*U13*U26/100*'Wskazniki emisji paliw'!$L$19)</f>
        <v>0</v>
      </c>
      <c r="H13" s="389">
        <f>($G$9*V13*V26/100*'Wskazniki emisji paliw'!$L$19)</f>
        <v>0</v>
      </c>
      <c r="I13" s="468">
        <f>($G$9*W13*W26/100*'Wskazniki emisji paliw'!$L$19)</f>
        <v>0</v>
      </c>
      <c r="J13" s="469">
        <f t="shared" ref="J13:J20" si="0">SUM(D13:I13)</f>
        <v>0</v>
      </c>
      <c r="K13" s="470">
        <f>L13*'Wskazniki emisji paliw'!H$19</f>
        <v>0</v>
      </c>
      <c r="L13" s="471">
        <f>J13/'Wskazniki emisji paliw'!L19</f>
        <v>0</v>
      </c>
      <c r="M13" s="472" t="s">
        <v>47</v>
      </c>
      <c r="N13" s="146"/>
      <c r="O13" s="146"/>
      <c r="P13" s="8"/>
      <c r="Q13" s="385" t="str">
        <f t="shared" ref="Q13:Q20" si="1">B13</f>
        <v>Petrol</v>
      </c>
      <c r="R13" s="473">
        <v>4.8000000000000001E-2</v>
      </c>
      <c r="S13" s="473">
        <v>0.39500000000000002</v>
      </c>
      <c r="T13" s="473">
        <v>0.1</v>
      </c>
      <c r="U13" s="473">
        <v>0.02</v>
      </c>
      <c r="V13" s="473">
        <v>0</v>
      </c>
      <c r="W13" s="474">
        <v>0</v>
      </c>
      <c r="X13" s="475">
        <f t="shared" ref="X13:X20" si="2">SUM(R13:W13)</f>
        <v>0.56300000000000006</v>
      </c>
      <c r="Y13" s="8"/>
      <c r="Z13" s="8"/>
    </row>
    <row r="14" spans="1:58" s="10" customFormat="1" ht="15">
      <c r="A14" s="8"/>
      <c r="B14" s="385" t="s">
        <v>40</v>
      </c>
      <c r="C14" s="467"/>
      <c r="D14" s="389">
        <f>($G$9*R14*R27/100*'Wskazniki emisji paliw'!$L$18)</f>
        <v>0</v>
      </c>
      <c r="E14" s="389">
        <f>($G$9*S14*S27/100*'Wskazniki emisji paliw'!$L$18)</f>
        <v>0</v>
      </c>
      <c r="F14" s="389">
        <f>($G$9*T14*T27/100*'Wskazniki emisji paliw'!$L$18)</f>
        <v>0</v>
      </c>
      <c r="G14" s="389">
        <f>($G$9*U14*U27/100*'Wskazniki emisji paliw'!$L$18)</f>
        <v>0</v>
      </c>
      <c r="H14" s="389">
        <f>($G$9*V14*V27/100*'Wskazniki emisji paliw'!$L$18)</f>
        <v>0</v>
      </c>
      <c r="I14" s="468">
        <f>($G$9*W14*W27/100*'Wskazniki emisji paliw'!$L$18)</f>
        <v>0</v>
      </c>
      <c r="J14" s="469">
        <f t="shared" si="0"/>
        <v>0</v>
      </c>
      <c r="K14" s="470">
        <f>L14*'Wskazniki emisji paliw'!H$18</f>
        <v>0</v>
      </c>
      <c r="L14" s="471">
        <f>J14/'Wskazniki emisji paliw'!L18</f>
        <v>0</v>
      </c>
      <c r="M14" s="472" t="s">
        <v>47</v>
      </c>
      <c r="N14" s="146"/>
      <c r="O14" s="146"/>
      <c r="P14" s="8"/>
      <c r="Q14" s="385" t="str">
        <f t="shared" si="1"/>
        <v>Diesel</v>
      </c>
      <c r="R14" s="473">
        <v>0</v>
      </c>
      <c r="S14" s="473">
        <v>0.05</v>
      </c>
      <c r="T14" s="473">
        <v>0.1</v>
      </c>
      <c r="U14" s="473">
        <v>0.15</v>
      </c>
      <c r="V14" s="473">
        <v>0.05</v>
      </c>
      <c r="W14" s="474">
        <v>0</v>
      </c>
      <c r="X14" s="475">
        <f t="shared" si="2"/>
        <v>0.35000000000000003</v>
      </c>
      <c r="Y14" s="8"/>
      <c r="Z14" s="8"/>
    </row>
    <row r="15" spans="1:58" s="10" customFormat="1" ht="15">
      <c r="A15" s="8"/>
      <c r="B15" s="385" t="s">
        <v>93</v>
      </c>
      <c r="C15" s="476">
        <v>0.99990000000000001</v>
      </c>
      <c r="D15" s="389">
        <f>($G$9*R15*R28/100*'Wskazniki emisji paliw'!$L$18*(1-$C$15))</f>
        <v>0</v>
      </c>
      <c r="E15" s="389">
        <f>($G$9*S15*S28/100*'Wskazniki emisji paliw'!$L$18*(1-$C$15))</f>
        <v>0</v>
      </c>
      <c r="F15" s="389">
        <f>($G$9*T15*T28/100*'Wskazniki emisji paliw'!$L$18*(1-$C$15))</f>
        <v>0</v>
      </c>
      <c r="G15" s="389">
        <f>($G$9*U15*U28/100*'Wskazniki emisji paliw'!$L$18*(1-$C$15))</f>
        <v>0</v>
      </c>
      <c r="H15" s="389">
        <f>($G$9*V15*V28/100*'Wskazniki emisji paliw'!$L$18*(1-$C$15))</f>
        <v>0</v>
      </c>
      <c r="I15" s="468">
        <f>($G$9*W15*W28/100*'Wskazniki emisji paliw'!$L$18*(1-$C$15))</f>
        <v>0</v>
      </c>
      <c r="J15" s="469">
        <f t="shared" si="0"/>
        <v>0</v>
      </c>
      <c r="K15" s="470">
        <f>L15*'Wskazniki emisji paliw'!H$18</f>
        <v>0</v>
      </c>
      <c r="L15" s="471">
        <f>J15/(1-C15)/'Wskazniki emisji paliw'!L18</f>
        <v>0</v>
      </c>
      <c r="M15" s="472" t="s">
        <v>47</v>
      </c>
      <c r="N15" s="146"/>
      <c r="O15" s="146"/>
      <c r="P15" s="8"/>
      <c r="Q15" s="385" t="str">
        <f t="shared" si="1"/>
        <v>Bio-Diesel Blend #1</v>
      </c>
      <c r="R15" s="473">
        <v>0</v>
      </c>
      <c r="S15" s="473">
        <v>1.4999999999999999E-2</v>
      </c>
      <c r="T15" s="473">
        <v>0.01</v>
      </c>
      <c r="U15" s="473">
        <v>0.01</v>
      </c>
      <c r="V15" s="473">
        <v>5.0000000000000001E-3</v>
      </c>
      <c r="W15" s="474">
        <v>0</v>
      </c>
      <c r="X15" s="475">
        <f t="shared" si="2"/>
        <v>0.04</v>
      </c>
      <c r="Y15" s="8"/>
      <c r="Z15" s="8"/>
    </row>
    <row r="16" spans="1:58" s="10" customFormat="1" ht="15">
      <c r="A16" s="8"/>
      <c r="B16" s="385" t="s">
        <v>49</v>
      </c>
      <c r="C16" s="394"/>
      <c r="D16" s="389">
        <f>($G$9*R16*R27/100*'Wskazniki emisji paliw'!$L$28)</f>
        <v>0</v>
      </c>
      <c r="E16" s="389">
        <f>($G$9*S16*S27/100*'Wskazniki emisji paliw'!$L$28)</f>
        <v>0</v>
      </c>
      <c r="F16" s="389">
        <f>($G$9*T16*T27/100*'Wskazniki emisji paliw'!$L$28)</f>
        <v>0</v>
      </c>
      <c r="G16" s="389">
        <f>($G$9*U16*U27/100*'Wskazniki emisji paliw'!$L$28)</f>
        <v>0</v>
      </c>
      <c r="H16" s="389">
        <f>($G$9*V16*V27/100*'Wskazniki emisji paliw'!$L$28)</f>
        <v>0</v>
      </c>
      <c r="I16" s="468">
        <f>($G$9*W16*W27/100*'Wskazniki emisji paliw'!$L$28)</f>
        <v>0</v>
      </c>
      <c r="J16" s="469">
        <f t="shared" si="0"/>
        <v>0</v>
      </c>
      <c r="K16" s="470">
        <f>L16*'Wskazniki emisji paliw'!H$28</f>
        <v>0</v>
      </c>
      <c r="L16" s="471">
        <f>J16/'Wskazniki emisji paliw'!L28</f>
        <v>0</v>
      </c>
      <c r="M16" s="472" t="s">
        <v>47</v>
      </c>
      <c r="N16" s="146"/>
      <c r="O16" s="146"/>
      <c r="P16" s="8"/>
      <c r="Q16" s="385" t="str">
        <f t="shared" si="1"/>
        <v>CNG</v>
      </c>
      <c r="R16" s="473">
        <v>0</v>
      </c>
      <c r="S16" s="473">
        <v>0.01</v>
      </c>
      <c r="T16" s="473">
        <v>5.0000000000000001E-3</v>
      </c>
      <c r="U16" s="473">
        <v>0</v>
      </c>
      <c r="V16" s="473">
        <v>5.0000000000000001E-3</v>
      </c>
      <c r="W16" s="474">
        <v>0</v>
      </c>
      <c r="X16" s="475">
        <f t="shared" si="2"/>
        <v>0.02</v>
      </c>
      <c r="Y16" s="8"/>
      <c r="Z16" s="8"/>
    </row>
    <row r="17" spans="1:26" s="10" customFormat="1" ht="15">
      <c r="A17" s="8"/>
      <c r="B17" s="385" t="s">
        <v>94</v>
      </c>
      <c r="C17" s="394"/>
      <c r="D17" s="389">
        <f>($G$9*R17*R28/100*'Wskazniki emisji paliw'!$L$28)</f>
        <v>0</v>
      </c>
      <c r="E17" s="389">
        <f>($G$9*S17*S28/100*'Wskazniki emisji paliw'!$L$28)</f>
        <v>0</v>
      </c>
      <c r="F17" s="389">
        <f>($G$9*T17*T28/100*'Wskazniki emisji paliw'!$L$28)</f>
        <v>0</v>
      </c>
      <c r="G17" s="389">
        <f>($G$9*U17*U28/100*'Wskazniki emisji paliw'!$L$28)</f>
        <v>0</v>
      </c>
      <c r="H17" s="389">
        <f>($G$9*V17*V28/100*'Wskazniki emisji paliw'!$L$28)</f>
        <v>0</v>
      </c>
      <c r="I17" s="468">
        <f>($G$9*W17*W28/100*'Wskazniki emisji paliw'!$L$28)</f>
        <v>0</v>
      </c>
      <c r="J17" s="469">
        <f t="shared" si="0"/>
        <v>0</v>
      </c>
      <c r="K17" s="470">
        <f>L17*'Wskazniki emisji paliw'!H$29</f>
        <v>0</v>
      </c>
      <c r="L17" s="471">
        <f>J17/'Wskazniki emisji paliw'!M29</f>
        <v>0</v>
      </c>
      <c r="M17" s="472" t="s">
        <v>46</v>
      </c>
      <c r="N17" s="146"/>
      <c r="O17" s="146"/>
      <c r="P17" s="477"/>
      <c r="Q17" s="385" t="str">
        <f t="shared" si="1"/>
        <v>Methane/Biogas/LandfillGas</v>
      </c>
      <c r="R17" s="473">
        <v>1E-3</v>
      </c>
      <c r="S17" s="473">
        <v>5.0000000000000001E-3</v>
      </c>
      <c r="T17" s="473">
        <v>0</v>
      </c>
      <c r="U17" s="473">
        <v>0</v>
      </c>
      <c r="V17" s="473">
        <v>0</v>
      </c>
      <c r="W17" s="474">
        <v>0</v>
      </c>
      <c r="X17" s="475">
        <f t="shared" si="2"/>
        <v>6.0000000000000001E-3</v>
      </c>
      <c r="Y17" s="8"/>
      <c r="Z17" s="8"/>
    </row>
    <row r="18" spans="1:26" s="10" customFormat="1" ht="15">
      <c r="A18" s="8"/>
      <c r="B18" s="385" t="s">
        <v>41</v>
      </c>
      <c r="C18" s="394"/>
      <c r="D18" s="389">
        <f>($G$9*R18*R31/100*'Wskazniki emisji paliw'!$L$21)</f>
        <v>0</v>
      </c>
      <c r="E18" s="389">
        <f>($G$9*S18*S31/100*'Wskazniki emisji paliw'!$L$21)</f>
        <v>0</v>
      </c>
      <c r="F18" s="389">
        <f>($G$9*T18*T31/100*'Wskazniki emisji paliw'!$L$21)</f>
        <v>0</v>
      </c>
      <c r="G18" s="389">
        <f>($G$9*U18*U31/100*'Wskazniki emisji paliw'!$L$21)</f>
        <v>0</v>
      </c>
      <c r="H18" s="389">
        <f>($G$9*V18*V31/100*'Wskazniki emisji paliw'!$L$21)</f>
        <v>0</v>
      </c>
      <c r="I18" s="468">
        <f>($G$9*W18*W31/100*'Wskazniki emisji paliw'!$L$21)</f>
        <v>0</v>
      </c>
      <c r="J18" s="469">
        <f t="shared" si="0"/>
        <v>0</v>
      </c>
      <c r="K18" s="470">
        <f>L18*'Wskazniki emisji paliw'!H$21</f>
        <v>0</v>
      </c>
      <c r="L18" s="471">
        <f>J18/'Wskazniki emisji paliw'!L21</f>
        <v>0</v>
      </c>
      <c r="M18" s="472" t="s">
        <v>47</v>
      </c>
      <c r="N18" s="146"/>
      <c r="O18" s="146"/>
      <c r="P18" s="477"/>
      <c r="Q18" s="385" t="str">
        <f t="shared" si="1"/>
        <v>Liquid Gas (LPG)</v>
      </c>
      <c r="R18" s="473">
        <v>0</v>
      </c>
      <c r="S18" s="473">
        <v>5.0000000000000001E-3</v>
      </c>
      <c r="T18" s="473">
        <v>0</v>
      </c>
      <c r="U18" s="473">
        <v>0</v>
      </c>
      <c r="V18" s="473">
        <v>0</v>
      </c>
      <c r="W18" s="474">
        <v>0</v>
      </c>
      <c r="X18" s="475">
        <f t="shared" si="2"/>
        <v>5.0000000000000001E-3</v>
      </c>
      <c r="Y18" s="8"/>
      <c r="Z18" s="8"/>
    </row>
    <row r="19" spans="1:26" s="10" customFormat="1" ht="15">
      <c r="A19" s="8"/>
      <c r="B19" s="385" t="s">
        <v>95</v>
      </c>
      <c r="C19" s="476">
        <v>0.1</v>
      </c>
      <c r="D19" s="389">
        <f>($G$9*R19*R32/100*'Wskazniki emisji paliw'!$L$19*(1-$C$19))</f>
        <v>0</v>
      </c>
      <c r="E19" s="389">
        <f>($G$9*S19*S32/100*'Wskazniki emisji paliw'!$L$19*(1-$C$19))</f>
        <v>0</v>
      </c>
      <c r="F19" s="389">
        <f>($G$9*T19*T32/100*'Wskazniki emisji paliw'!$L$19*(1-$C$19))</f>
        <v>0</v>
      </c>
      <c r="G19" s="389">
        <f>($G$9*U19*U32/100*'Wskazniki emisji paliw'!$L$19*(1-$C$19))</f>
        <v>0</v>
      </c>
      <c r="H19" s="389">
        <f>($G$9*V19*V32/100*'Wskazniki emisji paliw'!$L$19*(1-$C$19))</f>
        <v>0</v>
      </c>
      <c r="I19" s="468">
        <f>($G$9*W19*W32/100*'Wskazniki emisji paliw'!$L$19*(1-$C$19))</f>
        <v>0</v>
      </c>
      <c r="J19" s="469">
        <f t="shared" si="0"/>
        <v>0</v>
      </c>
      <c r="K19" s="470">
        <f>L19*'Wskazniki emisji paliw'!H$19</f>
        <v>0</v>
      </c>
      <c r="L19" s="471">
        <f>J19/(1-C19)/'Wskazniki emisji paliw'!L19</f>
        <v>0</v>
      </c>
      <c r="M19" s="472" t="s">
        <v>47</v>
      </c>
      <c r="N19" s="146"/>
      <c r="O19" s="146"/>
      <c r="P19" s="8"/>
      <c r="Q19" s="385" t="str">
        <f t="shared" si="1"/>
        <v>Ethanol-Petrol Blend #1</v>
      </c>
      <c r="R19" s="473">
        <v>1E-3</v>
      </c>
      <c r="S19" s="473">
        <v>5.0000000000000001E-3</v>
      </c>
      <c r="T19" s="473">
        <v>0</v>
      </c>
      <c r="U19" s="473">
        <v>0</v>
      </c>
      <c r="V19" s="473">
        <v>0</v>
      </c>
      <c r="W19" s="474">
        <v>0</v>
      </c>
      <c r="X19" s="475">
        <f t="shared" si="2"/>
        <v>6.0000000000000001E-3</v>
      </c>
      <c r="Y19" s="8"/>
      <c r="Z19" s="8"/>
    </row>
    <row r="20" spans="1:26" s="10" customFormat="1" ht="15">
      <c r="A20" s="8"/>
      <c r="B20" s="391" t="s">
        <v>96</v>
      </c>
      <c r="C20" s="478">
        <v>0</v>
      </c>
      <c r="D20" s="479">
        <f>($G$9*R20*(HLOOKUP(Ogolne!$D$6,'Wskazniki emisji elektrycznosc'!$B$8:$G$29,Ogolne!$E$7,TRUE))/1000)</f>
        <v>0</v>
      </c>
      <c r="E20" s="479">
        <f>($G$9*S20*(HLOOKUP(Ogolne!$D$6,'Wskazniki emisji elektrycznosc'!$B$8:$G$29,Ogolne!$E$7,TRUE))/1000)</f>
        <v>0</v>
      </c>
      <c r="F20" s="479">
        <f>($G$9*T20*(HLOOKUP(Ogolne!$D$6,'Wskazniki emisji elektrycznosc'!$B$8:$G$29,Ogolne!$E$7,TRUE))/1000)</f>
        <v>0</v>
      </c>
      <c r="G20" s="479">
        <f>($G$9*U20*(HLOOKUP(Ogolne!$D$6,'Wskazniki emisji elektrycznosc'!$B$8:$G$29,Ogolne!$E$7,TRUE))/1000)</f>
        <v>0</v>
      </c>
      <c r="H20" s="479">
        <f>($G$9*V20*(HLOOKUP(Ogolne!$D$6,'Wskazniki emisji elektrycznosc'!$B$8:$G$29,Ogolne!$E$7,TRUE))/1000)*(1-$C$20)</f>
        <v>0</v>
      </c>
      <c r="I20" s="480">
        <f>($G$9*W20*(HLOOKUP(Ogolne!$D$6,'Wskazniki emisji elektrycznosc'!$B$8:$G$29,Ogolne!$E$7,TRUE))/1000)*(1-$C$20)</f>
        <v>0</v>
      </c>
      <c r="J20" s="481">
        <f t="shared" si="0"/>
        <v>0</v>
      </c>
      <c r="K20" s="482">
        <f>L20/1000</f>
        <v>0</v>
      </c>
      <c r="L20" s="471">
        <f>J20/(HLOOKUP(Ogolne!$D$6,'Wskazniki emisji elektrycznosc'!$B$8:$G$29,Ogolne!$E$7,TRUE))*1000</f>
        <v>0</v>
      </c>
      <c r="M20" s="472" t="s">
        <v>44</v>
      </c>
      <c r="N20" s="146"/>
      <c r="O20" s="146"/>
      <c r="P20" s="8"/>
      <c r="Q20" s="385" t="str">
        <f t="shared" si="1"/>
        <v>Electricity #2</v>
      </c>
      <c r="R20" s="473">
        <v>0</v>
      </c>
      <c r="S20" s="473">
        <v>9.9999999999999995E-7</v>
      </c>
      <c r="T20" s="483">
        <v>0</v>
      </c>
      <c r="U20" s="483">
        <v>0</v>
      </c>
      <c r="V20" s="483">
        <v>0</v>
      </c>
      <c r="W20" s="484">
        <v>0.01</v>
      </c>
      <c r="X20" s="475">
        <f t="shared" si="2"/>
        <v>1.0000999999999999E-2</v>
      </c>
      <c r="Y20" s="8"/>
      <c r="Z20" s="8"/>
    </row>
    <row r="21" spans="1:26" s="10" customFormat="1" ht="15">
      <c r="A21" s="8"/>
      <c r="B21" s="397" t="s">
        <v>36</v>
      </c>
      <c r="C21" s="485"/>
      <c r="D21" s="486">
        <f t="shared" ref="D21:K21" si="3">SUM(D13:D20)</f>
        <v>0</v>
      </c>
      <c r="E21" s="486">
        <f t="shared" si="3"/>
        <v>0</v>
      </c>
      <c r="F21" s="486">
        <f t="shared" si="3"/>
        <v>0</v>
      </c>
      <c r="G21" s="486">
        <f t="shared" si="3"/>
        <v>0</v>
      </c>
      <c r="H21" s="486">
        <f t="shared" si="3"/>
        <v>0</v>
      </c>
      <c r="I21" s="486">
        <f t="shared" si="3"/>
        <v>0</v>
      </c>
      <c r="J21" s="487">
        <f t="shared" si="3"/>
        <v>0</v>
      </c>
      <c r="K21" s="488">
        <f t="shared" si="3"/>
        <v>0</v>
      </c>
      <c r="L21" s="489"/>
      <c r="M21" s="490"/>
      <c r="N21" s="146"/>
      <c r="O21" s="146"/>
      <c r="P21" s="491"/>
      <c r="Q21" s="492" t="s">
        <v>37</v>
      </c>
      <c r="R21" s="493">
        <f t="shared" ref="R21:X21" si="4">SUM(R13:R20)</f>
        <v>0.05</v>
      </c>
      <c r="S21" s="493">
        <f t="shared" si="4"/>
        <v>0.48500100000000002</v>
      </c>
      <c r="T21" s="493">
        <f t="shared" si="4"/>
        <v>0.21500000000000002</v>
      </c>
      <c r="U21" s="493">
        <f t="shared" si="4"/>
        <v>0.18</v>
      </c>
      <c r="V21" s="493">
        <f t="shared" si="4"/>
        <v>0.06</v>
      </c>
      <c r="W21" s="493">
        <f t="shared" si="4"/>
        <v>0.01</v>
      </c>
      <c r="X21" s="494">
        <f t="shared" si="4"/>
        <v>1.0000010000000001</v>
      </c>
      <c r="Y21" s="8"/>
      <c r="Z21" s="8"/>
    </row>
    <row r="22" spans="1:26" s="10" customFormat="1" ht="14.25">
      <c r="A22" s="8"/>
      <c r="B22" s="8"/>
      <c r="C22" s="8"/>
      <c r="D22" s="8"/>
      <c r="E22" s="8"/>
      <c r="F22" s="8"/>
      <c r="G22" s="8"/>
      <c r="H22" s="8"/>
      <c r="J22" s="8"/>
      <c r="K22" s="8"/>
      <c r="L22" s="8"/>
      <c r="M22" s="8"/>
      <c r="N22" s="146"/>
      <c r="O22" s="146"/>
      <c r="P22" s="8"/>
      <c r="Q22" s="8"/>
      <c r="R22" s="8"/>
      <c r="S22" s="8"/>
      <c r="T22" s="8"/>
      <c r="U22" s="8"/>
      <c r="V22" s="8"/>
      <c r="W22" s="8"/>
      <c r="X22" s="8"/>
      <c r="Y22" s="8"/>
      <c r="Z22" s="8"/>
    </row>
    <row r="23" spans="1:26" s="10" customFormat="1" ht="15">
      <c r="A23" s="8"/>
      <c r="B23" s="51" t="s">
        <v>97</v>
      </c>
      <c r="C23" s="495" t="s">
        <v>98</v>
      </c>
      <c r="D23" s="495"/>
      <c r="E23" s="8"/>
      <c r="F23" s="8"/>
      <c r="G23" s="8"/>
      <c r="H23" s="8"/>
      <c r="I23" s="8"/>
      <c r="J23" s="8"/>
      <c r="K23" s="8"/>
      <c r="L23" s="8"/>
      <c r="M23" s="8"/>
      <c r="N23" s="146"/>
      <c r="O23" s="146"/>
      <c r="P23" s="8"/>
      <c r="Q23" s="8"/>
      <c r="R23" s="8"/>
      <c r="S23" s="8"/>
      <c r="T23" s="8"/>
      <c r="U23" s="8"/>
      <c r="V23" s="8"/>
      <c r="W23" s="8"/>
      <c r="X23" s="8"/>
      <c r="Y23" s="8"/>
      <c r="Z23" s="8"/>
    </row>
    <row r="24" spans="1:26" s="10" customFormat="1" ht="15">
      <c r="A24" s="8"/>
      <c r="B24" s="496"/>
      <c r="C24" s="497" t="s">
        <v>99</v>
      </c>
      <c r="D24" s="497"/>
      <c r="E24" s="8"/>
      <c r="F24" s="8"/>
      <c r="G24" s="8"/>
      <c r="H24" s="8"/>
      <c r="I24" s="8"/>
      <c r="J24" s="8"/>
      <c r="K24" s="8"/>
      <c r="L24" s="8"/>
      <c r="M24" s="8"/>
      <c r="N24" s="146"/>
      <c r="O24" s="146"/>
      <c r="P24" s="8"/>
      <c r="Q24" s="50" t="s">
        <v>100</v>
      </c>
      <c r="R24" s="50"/>
      <c r="S24" s="8"/>
      <c r="T24" s="8"/>
      <c r="U24" s="8"/>
      <c r="V24" s="8"/>
      <c r="W24" s="8"/>
      <c r="X24" s="8"/>
      <c r="Y24" s="8"/>
      <c r="Z24" s="8"/>
    </row>
    <row r="25" spans="1:26" s="10" customFormat="1" ht="30">
      <c r="A25" s="8"/>
      <c r="C25" s="8"/>
      <c r="D25" s="8"/>
      <c r="E25" s="8"/>
      <c r="F25" s="8"/>
      <c r="G25" s="8"/>
      <c r="H25" s="8"/>
      <c r="I25" s="8"/>
      <c r="K25" s="8"/>
      <c r="L25" s="8"/>
      <c r="M25" s="8"/>
      <c r="N25" s="8"/>
      <c r="O25" s="8"/>
      <c r="P25" s="8"/>
      <c r="Q25" s="456"/>
      <c r="R25" s="457" t="s">
        <v>87</v>
      </c>
      <c r="S25" s="464" t="s">
        <v>88</v>
      </c>
      <c r="T25" s="458" t="s">
        <v>89</v>
      </c>
      <c r="U25" s="458" t="s">
        <v>90</v>
      </c>
      <c r="V25" s="466" t="s">
        <v>91</v>
      </c>
      <c r="W25" s="498"/>
      <c r="X25" s="8"/>
      <c r="Y25" s="8"/>
      <c r="Z25" s="8"/>
    </row>
    <row r="26" spans="1:26" s="10" customFormat="1" ht="15">
      <c r="A26" s="8"/>
      <c r="B26" s="499" t="s">
        <v>43</v>
      </c>
      <c r="C26" s="500">
        <v>1</v>
      </c>
      <c r="D26" s="500"/>
      <c r="E26" s="500"/>
      <c r="F26" s="8"/>
      <c r="G26" s="8"/>
      <c r="H26" s="8"/>
      <c r="I26" s="8"/>
      <c r="J26" s="8"/>
      <c r="K26" s="8"/>
      <c r="L26" s="8"/>
      <c r="M26" s="8"/>
      <c r="N26" s="8"/>
      <c r="O26" s="8"/>
      <c r="P26" s="8"/>
      <c r="Q26" s="385" t="str">
        <f t="shared" ref="Q26:Q32" si="5">B13</f>
        <v>Petrol</v>
      </c>
      <c r="R26" s="501">
        <v>1</v>
      </c>
      <c r="S26" s="502">
        <v>8</v>
      </c>
      <c r="T26" s="502">
        <v>13</v>
      </c>
      <c r="U26" s="502">
        <v>43.5</v>
      </c>
      <c r="V26" s="503">
        <v>35.700000000000003</v>
      </c>
      <c r="W26" s="281"/>
      <c r="X26" s="8"/>
      <c r="Y26" s="8"/>
      <c r="Z26" s="8"/>
    </row>
    <row r="27" spans="1:26" s="10" customFormat="1" ht="14.25">
      <c r="A27" s="8"/>
      <c r="B27" s="415"/>
      <c r="C27" s="500">
        <v>2</v>
      </c>
      <c r="D27" s="500"/>
      <c r="E27" s="500"/>
      <c r="F27" s="8"/>
      <c r="G27" s="8"/>
      <c r="H27" s="8"/>
      <c r="I27" s="8"/>
      <c r="J27" s="8"/>
      <c r="K27" s="8"/>
      <c r="L27" s="8"/>
      <c r="M27" s="8"/>
      <c r="N27" s="8"/>
      <c r="O27" s="8"/>
      <c r="P27" s="8"/>
      <c r="Q27" s="385" t="str">
        <f t="shared" si="5"/>
        <v>Diesel</v>
      </c>
      <c r="R27" s="501">
        <v>0</v>
      </c>
      <c r="S27" s="502">
        <v>9</v>
      </c>
      <c r="T27" s="502">
        <v>12</v>
      </c>
      <c r="U27" s="502">
        <v>39</v>
      </c>
      <c r="V27" s="503">
        <v>32</v>
      </c>
      <c r="W27" s="281"/>
      <c r="X27" s="8"/>
      <c r="Y27" s="8"/>
      <c r="Z27" s="8"/>
    </row>
    <row r="28" spans="1:26" s="10" customFormat="1" ht="14.25">
      <c r="A28" s="8"/>
      <c r="B28" s="415"/>
      <c r="C28" s="500">
        <v>3</v>
      </c>
      <c r="D28" s="500"/>
      <c r="E28" s="500"/>
      <c r="F28" s="8"/>
      <c r="G28" s="8"/>
      <c r="H28" s="8"/>
      <c r="I28" s="8"/>
      <c r="J28" s="8"/>
      <c r="K28" s="8"/>
      <c r="L28" s="8"/>
      <c r="M28" s="8"/>
      <c r="N28" s="8"/>
      <c r="O28" s="8"/>
      <c r="P28" s="8"/>
      <c r="Q28" s="385" t="str">
        <f t="shared" si="5"/>
        <v>Bio-Diesel Blend #1</v>
      </c>
      <c r="R28" s="501">
        <v>0</v>
      </c>
      <c r="S28" s="502">
        <v>9</v>
      </c>
      <c r="T28" s="502">
        <v>12</v>
      </c>
      <c r="U28" s="502">
        <v>0</v>
      </c>
      <c r="V28" s="503">
        <v>0</v>
      </c>
      <c r="W28" s="281"/>
      <c r="X28" s="8"/>
      <c r="Y28" s="8"/>
      <c r="Z28" s="8"/>
    </row>
    <row r="29" spans="1:26" s="10" customFormat="1" ht="14.25">
      <c r="A29" s="8"/>
      <c r="B29" s="415"/>
      <c r="C29" s="500"/>
      <c r="D29" s="500"/>
      <c r="E29" s="500"/>
      <c r="F29" s="8"/>
      <c r="G29" s="8"/>
      <c r="H29" s="8"/>
      <c r="I29" s="8"/>
      <c r="J29" s="8"/>
      <c r="K29" s="8"/>
      <c r="L29" s="8"/>
      <c r="M29" s="8"/>
      <c r="N29" s="8"/>
      <c r="O29" s="8"/>
      <c r="P29" s="8"/>
      <c r="Q29" s="385" t="str">
        <f t="shared" si="5"/>
        <v>CNG</v>
      </c>
      <c r="R29" s="501">
        <v>1</v>
      </c>
      <c r="S29" s="502">
        <v>6</v>
      </c>
      <c r="T29" s="502">
        <v>10</v>
      </c>
      <c r="U29" s="502">
        <v>0</v>
      </c>
      <c r="V29" s="503">
        <v>0</v>
      </c>
      <c r="W29" s="281"/>
      <c r="X29" s="8"/>
      <c r="Y29" s="8"/>
      <c r="Z29" s="8"/>
    </row>
    <row r="30" spans="1:26" s="10" customFormat="1" ht="14.25">
      <c r="A30" s="8"/>
      <c r="B30" s="8"/>
      <c r="C30" s="8"/>
      <c r="D30" s="8"/>
      <c r="E30" s="8"/>
      <c r="F30" s="8"/>
      <c r="G30" s="8"/>
      <c r="H30" s="8"/>
      <c r="I30" s="8"/>
      <c r="J30" s="8"/>
      <c r="K30" s="8"/>
      <c r="L30" s="8"/>
      <c r="M30" s="8"/>
      <c r="N30" s="8"/>
      <c r="O30" s="8"/>
      <c r="P30" s="8"/>
      <c r="Q30" s="385" t="str">
        <f t="shared" si="5"/>
        <v>Methane/Biogas/LandfillGas</v>
      </c>
      <c r="R30" s="501">
        <v>1</v>
      </c>
      <c r="S30" s="502">
        <v>6</v>
      </c>
      <c r="T30" s="502">
        <v>10</v>
      </c>
      <c r="U30" s="502">
        <v>0</v>
      </c>
      <c r="V30" s="503">
        <v>0</v>
      </c>
      <c r="W30" s="281"/>
      <c r="X30" s="8"/>
      <c r="Y30" s="8"/>
      <c r="Z30" s="8"/>
    </row>
    <row r="31" spans="1:26" s="10" customFormat="1" ht="14.25">
      <c r="A31" s="8"/>
      <c r="B31" s="8"/>
      <c r="C31" s="8"/>
      <c r="D31" s="8"/>
      <c r="E31" s="8"/>
      <c r="F31" s="8"/>
      <c r="G31" s="8"/>
      <c r="H31" s="8"/>
      <c r="I31" s="8"/>
      <c r="J31" s="8"/>
      <c r="K31" s="8"/>
      <c r="L31" s="8"/>
      <c r="M31" s="8"/>
      <c r="N31" s="8"/>
      <c r="O31" s="8"/>
      <c r="P31" s="8"/>
      <c r="Q31" s="385" t="str">
        <f t="shared" si="5"/>
        <v>Liquid Gas (LPG)</v>
      </c>
      <c r="R31" s="501">
        <v>1</v>
      </c>
      <c r="S31" s="502">
        <v>6</v>
      </c>
      <c r="T31" s="502">
        <v>10</v>
      </c>
      <c r="U31" s="502">
        <v>0</v>
      </c>
      <c r="V31" s="503">
        <v>0</v>
      </c>
      <c r="W31" s="281"/>
      <c r="X31" s="8"/>
      <c r="Y31" s="8"/>
      <c r="Z31" s="8"/>
    </row>
    <row r="32" spans="1:26" s="10" customFormat="1" ht="14.25">
      <c r="A32" s="8"/>
      <c r="B32" s="8"/>
      <c r="C32" s="8"/>
      <c r="D32" s="8"/>
      <c r="E32" s="8"/>
      <c r="F32" s="8"/>
      <c r="G32" s="8"/>
      <c r="H32" s="8"/>
      <c r="I32" s="8"/>
      <c r="J32" s="8"/>
      <c r="K32" s="8"/>
      <c r="L32" s="8"/>
      <c r="M32" s="8"/>
      <c r="N32" s="8"/>
      <c r="O32" s="8"/>
      <c r="P32" s="8"/>
      <c r="Q32" s="504" t="str">
        <f t="shared" si="5"/>
        <v>Ethanol-Petrol Blend #1</v>
      </c>
      <c r="R32" s="505">
        <v>1</v>
      </c>
      <c r="S32" s="506">
        <v>7</v>
      </c>
      <c r="T32" s="506">
        <v>15</v>
      </c>
      <c r="U32" s="506">
        <v>0</v>
      </c>
      <c r="V32" s="507">
        <v>0</v>
      </c>
      <c r="W32" s="394"/>
      <c r="X32" s="8"/>
      <c r="Y32" s="8"/>
      <c r="Z32" s="8"/>
    </row>
    <row r="33" spans="1:26" s="10" customFormat="1" ht="14.2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s="10" customFormat="1" ht="14.2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c r="A35" s="146"/>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row>
    <row r="36" spans="1:26">
      <c r="A36" s="146"/>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row>
    <row r="37" spans="1:26">
      <c r="A37" s="146"/>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row>
    <row r="38" spans="1:26">
      <c r="A38" s="146"/>
      <c r="B38" s="146"/>
      <c r="C38" s="146"/>
      <c r="D38" s="146"/>
      <c r="E38" s="146"/>
      <c r="F38" s="508"/>
      <c r="G38" s="146"/>
      <c r="H38" s="146"/>
      <c r="I38" s="146"/>
      <c r="J38" s="146"/>
      <c r="K38" s="146"/>
      <c r="L38" s="146"/>
      <c r="M38" s="146"/>
      <c r="N38" s="146"/>
      <c r="O38" s="146"/>
      <c r="P38" s="146"/>
      <c r="Q38" s="146"/>
      <c r="R38" s="146"/>
      <c r="S38" s="146"/>
      <c r="T38" s="146"/>
      <c r="U38" s="146"/>
      <c r="V38" s="146"/>
      <c r="W38" s="146"/>
      <c r="X38" s="146"/>
      <c r="Y38" s="146"/>
      <c r="Z38" s="146"/>
    </row>
    <row r="39" spans="1:26">
      <c r="A39" s="146"/>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row>
    <row r="40" spans="1:26">
      <c r="A40" s="146"/>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row>
    <row r="41" spans="1:26">
      <c r="A41" s="146"/>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row>
    <row r="42" spans="1:26">
      <c r="A42" s="146"/>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row>
    <row r="43" spans="1:26">
      <c r="A43" s="146"/>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row>
    <row r="44" spans="1:26">
      <c r="A44" s="146"/>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row>
    <row r="45" spans="1:26">
      <c r="A45" s="146"/>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row>
    <row r="46" spans="1:26">
      <c r="A46" s="146"/>
      <c r="B46" s="146"/>
      <c r="C46" s="146"/>
      <c r="D46" s="146"/>
      <c r="E46" s="146"/>
      <c r="F46" s="508"/>
      <c r="G46" s="146"/>
      <c r="H46" s="146"/>
      <c r="I46" s="146"/>
      <c r="J46" s="146"/>
      <c r="K46" s="146"/>
      <c r="L46" s="146"/>
      <c r="M46" s="146"/>
      <c r="N46" s="146"/>
      <c r="O46" s="146"/>
      <c r="P46" s="146"/>
      <c r="Q46" s="146"/>
      <c r="R46" s="146"/>
      <c r="S46" s="146"/>
      <c r="T46" s="146"/>
      <c r="U46" s="146"/>
      <c r="V46" s="146"/>
      <c r="W46" s="146"/>
      <c r="X46" s="146"/>
      <c r="Y46" s="146"/>
      <c r="Z46" s="146"/>
    </row>
    <row r="47" spans="1:26">
      <c r="A47" s="146"/>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row>
    <row r="48" spans="1:26">
      <c r="A48" s="146"/>
      <c r="B48" s="146"/>
      <c r="C48" s="146"/>
      <c r="D48" s="146"/>
      <c r="E48" s="508"/>
      <c r="F48" s="146"/>
      <c r="G48" s="146"/>
      <c r="H48" s="146"/>
      <c r="I48" s="146"/>
      <c r="J48" s="146"/>
      <c r="K48" s="146"/>
      <c r="L48" s="146"/>
      <c r="M48" s="146"/>
      <c r="N48" s="146"/>
      <c r="O48" s="146"/>
      <c r="P48" s="146"/>
      <c r="Q48" s="146"/>
      <c r="R48" s="146"/>
      <c r="S48" s="146"/>
      <c r="T48" s="146"/>
      <c r="U48" s="146"/>
      <c r="V48" s="146"/>
      <c r="W48" s="146"/>
      <c r="X48" s="146"/>
      <c r="Y48" s="146"/>
      <c r="Z48" s="146"/>
    </row>
    <row r="49" spans="1:26">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row>
    <row r="50" spans="1:26">
      <c r="A50" s="146"/>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row>
    <row r="51" spans="1:26">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row>
    <row r="52" spans="1:26">
      <c r="A52" s="146"/>
      <c r="B52" s="146"/>
      <c r="C52" s="146"/>
      <c r="D52" s="146"/>
      <c r="E52" s="146"/>
      <c r="F52" s="146"/>
      <c r="G52" s="146"/>
      <c r="H52" s="146"/>
      <c r="I52" s="146"/>
      <c r="J52" s="146"/>
      <c r="K52" s="146"/>
    </row>
  </sheetData>
  <mergeCells count="3">
    <mergeCell ref="B3:L3"/>
    <mergeCell ref="C6:L6"/>
    <mergeCell ref="C7:M7"/>
  </mergeCells>
  <phoneticPr fontId="37" type="noConversion"/>
  <pageMargins left="0.74791666666666667" right="0.74791666666666667" top="0.98402777777777772" bottom="0.98402777777777772" header="0.51180555555555551" footer="0.51180555555555551"/>
  <pageSetup paperSize="9" firstPageNumber="0" orientation="landscape" horizontalDpi="300" verticalDpi="300"/>
  <headerFooter alignWithMargins="0"/>
  <legacyDrawing r:id="rId1"/>
</worksheet>
</file>

<file path=xl/worksheets/sheet16.xml><?xml version="1.0" encoding="utf-8"?>
<worksheet xmlns="http://schemas.openxmlformats.org/spreadsheetml/2006/main" xmlns:r="http://schemas.openxmlformats.org/officeDocument/2006/relationships">
  <sheetPr>
    <tabColor rgb="FF92D050"/>
  </sheetPr>
  <dimension ref="A1:AY28"/>
  <sheetViews>
    <sheetView workbookViewId="0">
      <selection activeCell="AK10" sqref="AK10"/>
    </sheetView>
  </sheetViews>
  <sheetFormatPr defaultRowHeight="12.75"/>
  <cols>
    <col min="1" max="1" width="4.1640625" customWidth="1"/>
    <col min="2" max="2" width="37.33203125" customWidth="1"/>
    <col min="3" max="3" width="11.1640625" customWidth="1"/>
    <col min="4" max="4" width="15.33203125" customWidth="1"/>
    <col min="5" max="5" width="12" customWidth="1"/>
    <col min="6" max="6" width="14.6640625" customWidth="1"/>
    <col min="7" max="7" width="16.33203125" customWidth="1"/>
    <col min="8" max="8" width="15" customWidth="1"/>
    <col min="9" max="9" width="14.33203125" customWidth="1"/>
    <col min="10" max="10" width="12.33203125" customWidth="1"/>
    <col min="11" max="11" width="14.83203125" customWidth="1"/>
    <col min="12" max="12" width="14" customWidth="1"/>
    <col min="13" max="13" width="13.33203125" customWidth="1"/>
    <col min="14" max="14" width="12.33203125" customWidth="1"/>
    <col min="15" max="15" width="14.33203125" customWidth="1"/>
    <col min="16" max="16" width="13.83203125" customWidth="1"/>
    <col min="17" max="17" width="12.33203125" customWidth="1"/>
    <col min="18" max="19" width="14" customWidth="1"/>
    <col min="20" max="20" width="12.33203125" customWidth="1"/>
    <col min="21" max="21" width="13.33203125" customWidth="1"/>
    <col min="22" max="22" width="12.83203125" customWidth="1"/>
    <col min="23" max="23" width="15.1640625" customWidth="1"/>
    <col min="24" max="24" width="12.83203125" customWidth="1"/>
    <col min="25" max="25" width="13.83203125" customWidth="1"/>
    <col min="26" max="26" width="14.6640625" customWidth="1"/>
    <col min="27" max="27" width="15" customWidth="1"/>
    <col min="28" max="28" width="11.6640625" customWidth="1"/>
    <col min="29" max="29" width="34.33203125" customWidth="1"/>
    <col min="30" max="30" width="12.33203125" customWidth="1"/>
    <col min="31" max="31" width="20" customWidth="1"/>
    <col min="32" max="32" width="17.1640625" customWidth="1"/>
    <col min="33" max="33" width="13.1640625" customWidth="1"/>
    <col min="34" max="34" width="12.1640625" customWidth="1"/>
    <col min="35" max="35" width="14" customWidth="1"/>
    <col min="37" max="37" width="33.33203125" customWidth="1"/>
    <col min="38" max="38" width="10.6640625" customWidth="1"/>
    <col min="39" max="39" width="14.1640625" customWidth="1"/>
    <col min="40" max="40" width="13.83203125" customWidth="1"/>
    <col min="41" max="41" width="14.6640625" customWidth="1"/>
    <col min="43" max="43" width="44.1640625" customWidth="1"/>
  </cols>
  <sheetData>
    <row r="1" spans="1:51" s="144" customFormat="1" ht="14.25">
      <c r="A1" s="138"/>
      <c r="C1" s="139" t="s">
        <v>443</v>
      </c>
      <c r="D1" s="981" t="str">
        <f>Ogolne!D5</f>
        <v>Bydgoszcz</v>
      </c>
      <c r="E1" s="981"/>
      <c r="F1" s="981"/>
      <c r="G1" s="981"/>
      <c r="H1" s="981"/>
      <c r="I1" s="981"/>
      <c r="J1" s="374"/>
      <c r="K1" s="374"/>
      <c r="L1" s="374"/>
      <c r="M1" s="374"/>
      <c r="N1" s="140"/>
      <c r="O1" s="140"/>
      <c r="P1" s="140"/>
      <c r="Q1" s="140"/>
      <c r="R1" s="140"/>
      <c r="S1" s="140"/>
      <c r="T1" s="140"/>
      <c r="U1" s="140"/>
      <c r="V1" s="140"/>
      <c r="W1" s="140"/>
      <c r="X1" s="140"/>
      <c r="Y1" s="140"/>
      <c r="Z1" s="140"/>
      <c r="AA1" s="140"/>
      <c r="AB1" s="140"/>
      <c r="AC1" s="140"/>
      <c r="AD1" s="140"/>
      <c r="AE1" s="138"/>
      <c r="AF1" s="138"/>
      <c r="AG1" s="138"/>
      <c r="AH1" s="138"/>
      <c r="AI1" s="138"/>
      <c r="AJ1" s="142"/>
      <c r="AK1" s="142"/>
      <c r="AL1" s="142"/>
      <c r="AM1" s="142"/>
      <c r="AN1" s="142"/>
      <c r="AO1" s="142"/>
      <c r="AP1" s="138"/>
      <c r="AQ1" s="143"/>
      <c r="AR1" s="138"/>
      <c r="AS1" s="138"/>
      <c r="AT1" s="138"/>
      <c r="AU1" s="138"/>
      <c r="AV1" s="138"/>
      <c r="AW1" s="138"/>
      <c r="AX1" s="138"/>
      <c r="AY1" s="138"/>
    </row>
    <row r="2" spans="1:51">
      <c r="A2" s="146"/>
      <c r="B2" s="146"/>
      <c r="C2" s="146"/>
      <c r="D2" s="146"/>
      <c r="E2" s="146"/>
      <c r="F2" s="146"/>
      <c r="G2" s="146"/>
      <c r="H2" s="146"/>
      <c r="I2" s="146"/>
      <c r="J2" s="146"/>
      <c r="K2" s="146"/>
      <c r="L2" s="146"/>
      <c r="M2" s="146"/>
      <c r="N2" s="146"/>
      <c r="O2" s="146"/>
      <c r="P2" s="146"/>
      <c r="Q2" s="146"/>
      <c r="R2" s="146"/>
      <c r="S2" s="146"/>
      <c r="T2" s="146"/>
      <c r="U2" s="146"/>
      <c r="V2" s="146"/>
      <c r="W2" s="146"/>
      <c r="X2" s="146"/>
      <c r="Y2" s="145"/>
      <c r="Z2" s="145"/>
      <c r="AA2" s="145"/>
      <c r="AB2" s="146"/>
      <c r="AC2" s="145"/>
      <c r="AD2" s="145"/>
      <c r="AE2" s="146"/>
      <c r="AF2" s="146"/>
      <c r="AG2" s="145"/>
      <c r="AH2" s="145"/>
      <c r="AI2" s="145"/>
      <c r="AJ2" s="146"/>
      <c r="AK2" s="145"/>
      <c r="AL2" s="145"/>
      <c r="AM2" s="146"/>
      <c r="AN2" s="145"/>
      <c r="AO2" s="146"/>
      <c r="AP2" s="145"/>
      <c r="AQ2" s="145"/>
      <c r="AR2" s="146"/>
      <c r="AS2" s="145"/>
      <c r="AT2" s="145"/>
      <c r="AU2" s="146"/>
      <c r="AV2" s="145"/>
    </row>
    <row r="3" spans="1:51" ht="26.25">
      <c r="A3" s="146"/>
      <c r="B3" s="934" t="s">
        <v>563</v>
      </c>
      <c r="C3" s="934"/>
      <c r="D3" s="934"/>
      <c r="E3" s="934"/>
      <c r="F3" s="934"/>
      <c r="G3" s="934"/>
      <c r="H3" s="934"/>
      <c r="I3" s="934"/>
      <c r="J3" s="934"/>
      <c r="K3" s="934"/>
      <c r="L3" s="934"/>
      <c r="M3" s="374"/>
      <c r="N3" s="146"/>
      <c r="O3" s="146"/>
      <c r="P3" s="146"/>
      <c r="Q3" s="146"/>
      <c r="R3" s="146"/>
      <c r="S3" s="146"/>
      <c r="T3" s="146"/>
      <c r="U3" s="146"/>
      <c r="V3" s="146"/>
      <c r="W3" s="146"/>
      <c r="X3" s="146"/>
      <c r="Y3" s="145"/>
      <c r="Z3" s="145"/>
      <c r="AA3" s="145"/>
      <c r="AB3" s="146"/>
      <c r="AC3" s="145"/>
      <c r="AD3" s="145"/>
      <c r="AE3" s="146"/>
      <c r="AF3" s="146"/>
      <c r="AG3" s="145"/>
      <c r="AH3" s="145"/>
      <c r="AI3" s="145"/>
      <c r="AJ3" s="146"/>
      <c r="AK3" s="145"/>
      <c r="AL3" s="145"/>
      <c r="AM3" s="146"/>
      <c r="AN3" s="145"/>
      <c r="AO3" s="146"/>
      <c r="AP3" s="145"/>
      <c r="AQ3" s="145"/>
      <c r="AR3" s="146"/>
      <c r="AS3" s="145"/>
      <c r="AT3" s="145"/>
      <c r="AU3" s="146"/>
      <c r="AV3" s="145"/>
    </row>
    <row r="4" spans="1:51" ht="15.75">
      <c r="A4" s="146"/>
      <c r="B4" s="149" t="s">
        <v>538</v>
      </c>
      <c r="C4" s="150">
        <f>comyear</f>
        <v>2005</v>
      </c>
      <c r="E4" s="145"/>
      <c r="F4" s="145"/>
      <c r="G4" s="145"/>
      <c r="H4" s="145"/>
      <c r="I4" s="145"/>
      <c r="J4" s="145"/>
      <c r="K4" s="146"/>
      <c r="L4" s="146"/>
      <c r="M4" s="146"/>
      <c r="N4" s="146"/>
      <c r="O4" s="146"/>
      <c r="P4" s="146"/>
      <c r="Q4" s="146"/>
      <c r="R4" s="146"/>
      <c r="S4" s="146"/>
      <c r="T4" s="146"/>
      <c r="U4" s="146"/>
      <c r="V4" s="146"/>
      <c r="W4" s="146"/>
      <c r="X4" s="146"/>
      <c r="Y4" s="145"/>
      <c r="Z4" s="145"/>
      <c r="AA4" s="145"/>
      <c r="AB4" s="146"/>
      <c r="AC4" s="145"/>
      <c r="AD4" s="145"/>
      <c r="AE4" s="146"/>
      <c r="AF4" s="146"/>
      <c r="AG4" s="145"/>
      <c r="AH4" s="145"/>
      <c r="AI4" s="145"/>
      <c r="AJ4" s="146"/>
      <c r="AK4" s="145"/>
      <c r="AL4" s="145"/>
      <c r="AM4" s="146"/>
      <c r="AN4" s="145"/>
      <c r="AO4" s="146"/>
      <c r="AP4" s="145"/>
      <c r="AQ4" s="145"/>
      <c r="AR4" s="146"/>
      <c r="AS4" s="145"/>
      <c r="AT4" s="145"/>
      <c r="AU4" s="146"/>
      <c r="AV4" s="145"/>
    </row>
    <row r="5" spans="1:51" ht="15.75">
      <c r="A5" s="145"/>
      <c r="B5" s="149"/>
      <c r="C5" s="150"/>
      <c r="D5" s="151"/>
      <c r="E5" s="145"/>
      <c r="F5" s="145"/>
      <c r="G5" s="145"/>
      <c r="H5" s="145"/>
      <c r="I5" s="145"/>
      <c r="J5" s="145"/>
      <c r="K5" s="145"/>
      <c r="L5" s="145"/>
      <c r="M5" s="145"/>
      <c r="N5" s="145"/>
      <c r="O5" s="145"/>
      <c r="P5" s="145"/>
      <c r="Q5" s="145"/>
      <c r="R5" s="145"/>
      <c r="S5" s="949" t="s">
        <v>420</v>
      </c>
      <c r="T5" s="949"/>
      <c r="U5" s="949"/>
      <c r="V5" s="949" t="s">
        <v>414</v>
      </c>
      <c r="W5" s="949"/>
      <c r="X5" s="949"/>
      <c r="Y5" s="145"/>
      <c r="Z5" s="145"/>
      <c r="AA5" s="145"/>
      <c r="AB5" s="146"/>
      <c r="AC5" s="145"/>
      <c r="AD5" s="145"/>
      <c r="AE5" s="146"/>
      <c r="AF5" s="146"/>
      <c r="AG5" s="145"/>
      <c r="AH5" s="145"/>
      <c r="AI5" s="145"/>
      <c r="AJ5" s="146"/>
      <c r="AK5" s="145"/>
      <c r="AL5" s="145"/>
      <c r="AM5" s="146"/>
      <c r="AN5" s="145"/>
      <c r="AO5" s="145"/>
      <c r="AP5" s="146"/>
      <c r="AQ5" s="146"/>
      <c r="AR5" s="146"/>
      <c r="AS5" s="146"/>
      <c r="AT5" s="146"/>
      <c r="AU5" s="146"/>
    </row>
    <row r="6" spans="1:51" ht="12.95" customHeight="1" thickBot="1">
      <c r="A6" s="145"/>
      <c r="B6" s="509" t="s">
        <v>564</v>
      </c>
      <c r="C6" s="984"/>
      <c r="D6" s="984"/>
      <c r="E6" s="984"/>
      <c r="F6" s="984"/>
      <c r="G6" s="984"/>
      <c r="H6" s="984"/>
      <c r="I6" s="984"/>
      <c r="J6" s="984"/>
      <c r="K6" s="984"/>
      <c r="L6" s="984"/>
      <c r="M6" s="145"/>
      <c r="N6" s="145"/>
      <c r="O6" s="145"/>
      <c r="P6" s="145"/>
      <c r="Q6" s="145"/>
      <c r="R6" s="145"/>
      <c r="S6" s="153"/>
      <c r="T6" s="154" t="s">
        <v>421</v>
      </c>
      <c r="U6" s="155"/>
      <c r="V6" s="153"/>
      <c r="W6" s="154" t="s">
        <v>421</v>
      </c>
      <c r="X6" s="155"/>
      <c r="Y6" s="145"/>
      <c r="Z6" s="145"/>
      <c r="AA6" s="145"/>
      <c r="AB6" s="146"/>
      <c r="AC6" s="145"/>
      <c r="AD6" s="145"/>
      <c r="AE6" s="146"/>
      <c r="AF6" s="146"/>
      <c r="AG6" s="145"/>
      <c r="AH6" s="145"/>
      <c r="AI6" s="145"/>
      <c r="AJ6" s="146"/>
      <c r="AK6" s="145"/>
      <c r="AL6" s="145"/>
      <c r="AM6" s="146"/>
      <c r="AN6" s="146"/>
      <c r="AO6" s="146"/>
      <c r="AP6" s="146"/>
      <c r="AQ6" s="146"/>
      <c r="AR6" s="146"/>
      <c r="AS6" s="146"/>
      <c r="AT6" s="146"/>
      <c r="AU6" s="146"/>
    </row>
    <row r="7" spans="1:51" ht="14.25" customHeight="1" thickBot="1">
      <c r="A7" s="145"/>
      <c r="B7" s="145"/>
      <c r="C7" s="145"/>
      <c r="D7" s="145"/>
      <c r="E7" s="145"/>
      <c r="F7" s="145"/>
      <c r="G7" s="145"/>
      <c r="H7" s="145"/>
      <c r="I7" s="145"/>
      <c r="J7" s="145"/>
      <c r="K7" s="145"/>
      <c r="L7" s="145"/>
      <c r="M7" s="145"/>
      <c r="N7" s="145"/>
      <c r="O7" s="145"/>
      <c r="P7" s="145"/>
      <c r="Q7" s="145"/>
      <c r="R7" s="145"/>
      <c r="S7" s="821" t="s">
        <v>445</v>
      </c>
      <c r="T7" s="158"/>
      <c r="U7" s="159">
        <v>0.5</v>
      </c>
      <c r="V7" s="158" t="s">
        <v>444</v>
      </c>
      <c r="W7" s="158"/>
      <c r="X7" s="159">
        <v>0.25</v>
      </c>
      <c r="Y7" s="136"/>
      <c r="Z7" s="145"/>
      <c r="AB7" s="145"/>
      <c r="AC7" s="145"/>
      <c r="AD7" s="145"/>
      <c r="AE7" s="145"/>
      <c r="AF7" s="145"/>
      <c r="AG7" s="146"/>
      <c r="AH7" s="146"/>
      <c r="AI7" s="147"/>
      <c r="AJ7" s="146"/>
      <c r="AK7" s="146"/>
      <c r="AL7" s="146"/>
      <c r="AM7" s="146"/>
      <c r="AN7" s="146"/>
      <c r="AO7" s="146"/>
      <c r="AP7" s="146"/>
      <c r="AQ7" s="146"/>
      <c r="AR7" s="146"/>
      <c r="AS7" s="146"/>
      <c r="AT7" s="146"/>
      <c r="AU7" s="146"/>
    </row>
    <row r="8" spans="1:51" ht="12.75" customHeight="1" thickBot="1">
      <c r="A8" s="145"/>
      <c r="B8" s="152"/>
      <c r="C8" s="151"/>
      <c r="D8" s="151"/>
      <c r="E8" s="145"/>
      <c r="F8" s="145"/>
      <c r="G8" s="145"/>
      <c r="H8" s="145"/>
      <c r="I8" s="145"/>
      <c r="J8" s="145"/>
      <c r="K8" s="145"/>
      <c r="L8" s="145"/>
      <c r="M8" s="145"/>
      <c r="N8" s="145"/>
      <c r="O8" s="145"/>
      <c r="P8" s="145"/>
      <c r="Q8" s="145"/>
      <c r="R8" s="145"/>
      <c r="S8" s="145"/>
      <c r="T8" s="145"/>
      <c r="U8" s="145"/>
      <c r="V8" s="145"/>
      <c r="W8" s="145"/>
      <c r="X8" s="146"/>
      <c r="Y8" s="145"/>
      <c r="Z8" s="145"/>
      <c r="AA8" s="146"/>
      <c r="AB8" s="145"/>
      <c r="AC8" s="145"/>
      <c r="AD8" s="145"/>
      <c r="AE8" s="145"/>
      <c r="AF8" s="145"/>
      <c r="AG8" s="146"/>
      <c r="AH8" s="146"/>
      <c r="AI8" s="147"/>
      <c r="AJ8" s="146"/>
      <c r="AK8" s="146"/>
      <c r="AL8" s="146"/>
      <c r="AM8" s="146"/>
      <c r="AN8" s="146"/>
      <c r="AO8" s="146"/>
      <c r="AP8" s="146"/>
      <c r="AQ8" s="146"/>
      <c r="AR8" s="146"/>
      <c r="AS8" s="146"/>
      <c r="AT8" s="146"/>
      <c r="AU8" s="146"/>
    </row>
    <row r="9" spans="1:51" s="512" customFormat="1" ht="15">
      <c r="A9" s="415"/>
      <c r="B9" s="842"/>
      <c r="C9" s="843"/>
      <c r="D9" s="985" t="s">
        <v>413</v>
      </c>
      <c r="E9" s="982"/>
      <c r="F9" s="982"/>
      <c r="G9" s="982" t="s">
        <v>415</v>
      </c>
      <c r="H9" s="982"/>
      <c r="I9" s="982"/>
      <c r="J9" s="982" t="s">
        <v>417</v>
      </c>
      <c r="K9" s="982"/>
      <c r="L9" s="982"/>
      <c r="M9" s="982" t="s">
        <v>565</v>
      </c>
      <c r="N9" s="982"/>
      <c r="O9" s="982"/>
      <c r="P9" s="982" t="s">
        <v>419</v>
      </c>
      <c r="Q9" s="982"/>
      <c r="R9" s="982"/>
      <c r="S9" s="982" t="s">
        <v>420</v>
      </c>
      <c r="T9" s="982"/>
      <c r="U9" s="982"/>
      <c r="V9" s="982" t="s">
        <v>566</v>
      </c>
      <c r="W9" s="982"/>
      <c r="X9" s="982"/>
      <c r="Y9" s="982" t="s">
        <v>349</v>
      </c>
      <c r="Z9" s="982"/>
      <c r="AA9" s="982"/>
      <c r="AB9" s="415"/>
      <c r="AC9" s="464"/>
      <c r="AD9" s="464"/>
      <c r="AE9" s="510" t="s">
        <v>37</v>
      </c>
      <c r="AF9" s="510" t="s">
        <v>37</v>
      </c>
      <c r="AG9" s="511"/>
      <c r="AH9" s="291"/>
      <c r="AI9" s="511"/>
      <c r="AJ9" s="511"/>
      <c r="AK9" s="511"/>
      <c r="AL9" s="511"/>
      <c r="AM9" s="511"/>
      <c r="AN9" s="511"/>
      <c r="AO9" s="511"/>
      <c r="AP9" s="511"/>
      <c r="AQ9" s="511"/>
      <c r="AR9" s="511"/>
      <c r="AS9" s="511"/>
      <c r="AT9" s="511"/>
      <c r="AU9" s="511"/>
    </row>
    <row r="10" spans="1:51" s="519" customFormat="1" ht="46.5" customHeight="1">
      <c r="A10" s="415"/>
      <c r="B10" s="844" t="s">
        <v>407</v>
      </c>
      <c r="C10" s="845" t="s">
        <v>365</v>
      </c>
      <c r="D10" s="516" t="s">
        <v>409</v>
      </c>
      <c r="E10" s="514" t="s">
        <v>531</v>
      </c>
      <c r="F10" s="515" t="s">
        <v>411</v>
      </c>
      <c r="G10" s="513" t="s">
        <v>409</v>
      </c>
      <c r="H10" s="514" t="s">
        <v>531</v>
      </c>
      <c r="I10" s="515" t="s">
        <v>411</v>
      </c>
      <c r="J10" s="516" t="s">
        <v>409</v>
      </c>
      <c r="K10" s="514" t="s">
        <v>531</v>
      </c>
      <c r="L10" s="515" t="s">
        <v>411</v>
      </c>
      <c r="M10" s="513" t="s">
        <v>783</v>
      </c>
      <c r="N10" s="514" t="s">
        <v>531</v>
      </c>
      <c r="O10" s="515" t="s">
        <v>411</v>
      </c>
      <c r="P10" s="513" t="s">
        <v>409</v>
      </c>
      <c r="Q10" s="514" t="s">
        <v>531</v>
      </c>
      <c r="R10" s="515" t="s">
        <v>411</v>
      </c>
      <c r="S10" s="513" t="s">
        <v>409</v>
      </c>
      <c r="T10" s="514" t="s">
        <v>531</v>
      </c>
      <c r="U10" s="515" t="s">
        <v>411</v>
      </c>
      <c r="V10" s="513" t="s">
        <v>409</v>
      </c>
      <c r="W10" s="514" t="s">
        <v>531</v>
      </c>
      <c r="X10" s="515" t="s">
        <v>411</v>
      </c>
      <c r="Y10" s="513" t="s">
        <v>423</v>
      </c>
      <c r="Z10" s="514" t="s">
        <v>531</v>
      </c>
      <c r="AA10" s="515" t="s">
        <v>411</v>
      </c>
      <c r="AB10" s="415"/>
      <c r="AC10" s="815" t="s">
        <v>407</v>
      </c>
      <c r="AD10" s="840" t="s">
        <v>365</v>
      </c>
      <c r="AE10" s="514" t="s">
        <v>531</v>
      </c>
      <c r="AF10" s="517" t="s">
        <v>412</v>
      </c>
      <c r="AG10" s="983" t="s">
        <v>379</v>
      </c>
      <c r="AH10" s="983"/>
      <c r="AI10" s="983"/>
      <c r="AJ10" s="983"/>
      <c r="AK10" s="518"/>
      <c r="AL10" s="518"/>
      <c r="AM10" s="518"/>
      <c r="AN10" s="518"/>
      <c r="AO10" s="518"/>
      <c r="AP10" s="518"/>
      <c r="AQ10" s="518"/>
      <c r="AR10" s="518"/>
      <c r="AS10" s="518"/>
      <c r="AT10" s="518"/>
      <c r="AU10" s="518"/>
    </row>
    <row r="11" spans="1:51" s="10" customFormat="1" ht="15">
      <c r="A11" s="415"/>
      <c r="B11" s="846" t="s">
        <v>333</v>
      </c>
      <c r="C11" s="847" t="s">
        <v>338</v>
      </c>
      <c r="D11" s="523">
        <v>128575200</v>
      </c>
      <c r="E11" s="388">
        <f>D11*'Wskazniki emisji paliw'!H$19</f>
        <v>1600059.7337087998</v>
      </c>
      <c r="F11" s="522">
        <f>D11*'Wskazniki emisji paliw'!L$19</f>
        <v>308400.88616063999</v>
      </c>
      <c r="G11" s="521">
        <v>11744250</v>
      </c>
      <c r="H11" s="388">
        <f>G11*'Wskazniki emisji paliw'!H$18</f>
        <v>141356.22875744995</v>
      </c>
      <c r="I11" s="522">
        <f>G11*'Wskazniki emisji paliw'!L$18</f>
        <v>31441.995522948142</v>
      </c>
      <c r="J11" s="523"/>
      <c r="K11" s="388">
        <f>J11*'Wskazniki emisji paliw'!$H$28</f>
        <v>0</v>
      </c>
      <c r="L11" s="522">
        <f>J11*'Wskazniki emisji paliw'!$L$28</f>
        <v>0</v>
      </c>
      <c r="M11" s="521"/>
      <c r="N11" s="388">
        <f>M11*'Wskazniki emisji paliw'!$H$29</f>
        <v>0</v>
      </c>
      <c r="O11" s="522">
        <f>M11*'Wskazniki emisji paliw'!$M$29</f>
        <v>0</v>
      </c>
      <c r="P11" s="521">
        <v>24622200</v>
      </c>
      <c r="Q11" s="388">
        <f>P11*'Wskazniki emisji paliw'!H$21</f>
        <v>181248.19997399999</v>
      </c>
      <c r="R11" s="522">
        <f>P11*'Wskazniki emisji paliw'!L$21</f>
        <v>41493.035973599995</v>
      </c>
      <c r="S11" s="521"/>
      <c r="T11" s="388">
        <f>S11*'Wskazniki emisji paliw'!H$19</f>
        <v>0</v>
      </c>
      <c r="U11" s="522">
        <f>S11*'Wskazniki emisji paliw'!L$19*(1-U$7)</f>
        <v>0</v>
      </c>
      <c r="V11" s="521"/>
      <c r="W11" s="388">
        <f>V11*'Wskazniki emisji paliw'!H$18</f>
        <v>0</v>
      </c>
      <c r="X11" s="522">
        <f>V11*'Wskazniki emisji paliw'!L$18*(1-X$7)</f>
        <v>0</v>
      </c>
      <c r="Y11" s="521"/>
      <c r="Z11" s="388">
        <f t="shared" ref="Z11:Z19" si="0">Y11/1000</f>
        <v>0</v>
      </c>
      <c r="AA11" s="522">
        <f>Y11*(HLOOKUP(Ogolne!$D$6,'Wskazniki emisji elektrycznosc'!$B$8:$G$29,Ogolne!$E$7,TRUE))/1000</f>
        <v>0</v>
      </c>
      <c r="AB11" s="415"/>
      <c r="AC11" s="520" t="str">
        <f t="shared" ref="AC11:AC19" si="1">B11</f>
        <v>Osobowe - lokalny</v>
      </c>
      <c r="AD11" s="520" t="str">
        <f t="shared" ref="AD11:AD19" si="2">C11</f>
        <v>OS-l</v>
      </c>
      <c r="AE11" s="388">
        <f t="shared" ref="AE11:AE19" si="3">E11+H11+K11+N11+Q11+T11+W11+Z11</f>
        <v>1922664.1624402497</v>
      </c>
      <c r="AF11" s="468">
        <f t="shared" ref="AF11:AF19" si="4">F11+I11+L11+O11+R11+U11+X11+AA11</f>
        <v>381335.91765718814</v>
      </c>
      <c r="AG11" s="971"/>
      <c r="AH11" s="971"/>
      <c r="AI11" s="971"/>
      <c r="AJ11" s="971"/>
      <c r="AK11" s="8"/>
      <c r="AL11" s="8"/>
      <c r="AM11" s="8"/>
      <c r="AN11" s="8"/>
      <c r="AO11" s="8"/>
      <c r="AP11" s="8"/>
      <c r="AQ11" s="8"/>
      <c r="AR11" s="8"/>
      <c r="AS11" s="8"/>
      <c r="AT11" s="8"/>
      <c r="AU11" s="8"/>
    </row>
    <row r="12" spans="1:51" s="10" customFormat="1" ht="15">
      <c r="A12" s="415"/>
      <c r="B12" s="848" t="s">
        <v>334</v>
      </c>
      <c r="C12" s="849" t="s">
        <v>339</v>
      </c>
      <c r="D12" s="523">
        <v>24533600</v>
      </c>
      <c r="E12" s="388">
        <f>D12*'Wskazniki emisji paliw'!H$19</f>
        <v>305309.46467839996</v>
      </c>
      <c r="F12" s="522">
        <f>D12*'Wskazniki emisji paliw'!L$19</f>
        <v>58846.371467520003</v>
      </c>
      <c r="G12" s="521">
        <v>25564000</v>
      </c>
      <c r="H12" s="388">
        <f>G12*'Wskazniki emisji paliw'!H$18</f>
        <v>307693.60597359994</v>
      </c>
      <c r="I12" s="522">
        <f>G12*'Wskazniki emisji paliw'!L$18</f>
        <v>68440.570794103172</v>
      </c>
      <c r="J12" s="523"/>
      <c r="K12" s="388">
        <f>J12*'Wskazniki emisji paliw'!$H$28</f>
        <v>0</v>
      </c>
      <c r="L12" s="522">
        <f>J12*'Wskazniki emisji paliw'!$L$28</f>
        <v>0</v>
      </c>
      <c r="M12" s="521"/>
      <c r="N12" s="388">
        <f>M12*'Wskazniki emisji paliw'!$H$29</f>
        <v>0</v>
      </c>
      <c r="O12" s="522">
        <f>M12*'Wskazniki emisji paliw'!$M$29</f>
        <v>0</v>
      </c>
      <c r="P12" s="521">
        <v>5338800</v>
      </c>
      <c r="Q12" s="388">
        <f>P12*'Wskazniki emisji paliw'!H$21</f>
        <v>39299.814395999994</v>
      </c>
      <c r="R12" s="522">
        <f>P12*'Wskazniki emisji paliw'!L$21</f>
        <v>8996.8816943999991</v>
      </c>
      <c r="S12" s="521"/>
      <c r="T12" s="388">
        <f>S12*'Wskazniki emisji paliw'!H$19</f>
        <v>0</v>
      </c>
      <c r="U12" s="522">
        <f>S12*'Wskazniki emisji paliw'!L$19*(1-U$7)</f>
        <v>0</v>
      </c>
      <c r="V12" s="521"/>
      <c r="W12" s="388">
        <f>V12*'Wskazniki emisji paliw'!H$18</f>
        <v>0</v>
      </c>
      <c r="X12" s="522">
        <f>V12*'Wskazniki emisji paliw'!L$18*(1-X$7)</f>
        <v>0</v>
      </c>
      <c r="Y12" s="521"/>
      <c r="Z12" s="388">
        <f t="shared" si="0"/>
        <v>0</v>
      </c>
      <c r="AA12" s="522">
        <f>Y12*(HLOOKUP(Ogolne!$D$6,'Wskazniki emisji elektrycznosc'!$B$8:$G$29,Ogolne!$E$7,TRUE))/1000</f>
        <v>0</v>
      </c>
      <c r="AB12" s="415"/>
      <c r="AC12" s="520" t="str">
        <f t="shared" si="1"/>
        <v>Ciężarowe - lokalny</v>
      </c>
      <c r="AD12" s="520" t="str">
        <f t="shared" si="2"/>
        <v>CI-l</v>
      </c>
      <c r="AE12" s="388">
        <f t="shared" si="3"/>
        <v>652302.88504799991</v>
      </c>
      <c r="AF12" s="468">
        <f t="shared" si="4"/>
        <v>136283.82395602317</v>
      </c>
      <c r="AG12" s="971"/>
      <c r="AH12" s="971"/>
      <c r="AI12" s="971"/>
      <c r="AJ12" s="971"/>
      <c r="AK12" s="8"/>
      <c r="AL12" s="8"/>
      <c r="AM12" s="8"/>
      <c r="AN12" s="8"/>
      <c r="AO12" s="8"/>
      <c r="AP12" s="8"/>
      <c r="AQ12" s="8"/>
      <c r="AR12" s="8"/>
      <c r="AS12" s="8"/>
      <c r="AT12" s="8"/>
      <c r="AU12" s="8"/>
    </row>
    <row r="13" spans="1:51" s="10" customFormat="1" ht="15">
      <c r="A13" s="415"/>
      <c r="B13" s="848" t="s">
        <v>335</v>
      </c>
      <c r="C13" s="849" t="s">
        <v>340</v>
      </c>
      <c r="D13" s="523">
        <v>381600</v>
      </c>
      <c r="E13" s="388">
        <f>D13*'Wskazniki emisji paliw'!H$19</f>
        <v>4748.8379903999994</v>
      </c>
      <c r="F13" s="522">
        <f>D13*'Wskazniki emisji paliw'!L$19</f>
        <v>915.30698112000005</v>
      </c>
      <c r="G13" s="521">
        <v>5881600</v>
      </c>
      <c r="H13" s="388">
        <f>G13*'Wskazniki emisji paliw'!H$18</f>
        <v>70792.157443839984</v>
      </c>
      <c r="I13" s="522">
        <f>G13*'Wskazniki emisji paliw'!L$18</f>
        <v>15746.364464974075</v>
      </c>
      <c r="J13" s="523"/>
      <c r="K13" s="388">
        <f>J13*'Wskazniki emisji paliw'!$H$28</f>
        <v>0</v>
      </c>
      <c r="L13" s="522">
        <f>J13*'Wskazniki emisji paliw'!$L$28</f>
        <v>0</v>
      </c>
      <c r="M13" s="521"/>
      <c r="N13" s="388">
        <f>M13*'Wskazniki emisji paliw'!$H$29</f>
        <v>0</v>
      </c>
      <c r="O13" s="522">
        <f>M13*'Wskazniki emisji paliw'!$M$29</f>
        <v>0</v>
      </c>
      <c r="P13" s="521">
        <v>16000</v>
      </c>
      <c r="Q13" s="388">
        <f>P13*'Wskazniki emisji paliw'!H$21</f>
        <v>117.77871999999999</v>
      </c>
      <c r="R13" s="522">
        <f>P13*'Wskazniki emisji paliw'!L$21</f>
        <v>26.963007999999995</v>
      </c>
      <c r="S13" s="521"/>
      <c r="T13" s="388">
        <f>S13*'Wskazniki emisji paliw'!H$19</f>
        <v>0</v>
      </c>
      <c r="U13" s="522">
        <f>S13*'Wskazniki emisji paliw'!L$19*(1-U$7)</f>
        <v>0</v>
      </c>
      <c r="V13" s="521"/>
      <c r="W13" s="388">
        <f>V13*'Wskazniki emisji paliw'!H$18</f>
        <v>0</v>
      </c>
      <c r="X13" s="522">
        <f>V13*'Wskazniki emisji paliw'!L$18*(1-X$7)</f>
        <v>0</v>
      </c>
      <c r="Y13" s="521"/>
      <c r="Z13" s="388">
        <f t="shared" si="0"/>
        <v>0</v>
      </c>
      <c r="AA13" s="522">
        <f>Y13*(HLOOKUP(Ogolne!$D$6,'Wskazniki emisji elektrycznosc'!$B$8:$G$29,Ogolne!$E$7,TRUE))/1000</f>
        <v>0</v>
      </c>
      <c r="AB13" s="415"/>
      <c r="AC13" s="520" t="str">
        <f t="shared" si="1"/>
        <v>Autobusy - lokalny</v>
      </c>
      <c r="AD13" s="520" t="str">
        <f t="shared" si="2"/>
        <v>AU-l</v>
      </c>
      <c r="AE13" s="388">
        <f t="shared" si="3"/>
        <v>75658.774154239989</v>
      </c>
      <c r="AF13" s="468">
        <f t="shared" si="4"/>
        <v>16688.634454094074</v>
      </c>
      <c r="AG13" s="971"/>
      <c r="AH13" s="971"/>
      <c r="AI13" s="971"/>
      <c r="AJ13" s="971"/>
      <c r="AK13" s="8"/>
      <c r="AL13" s="8"/>
      <c r="AM13" s="8"/>
      <c r="AN13" s="8"/>
      <c r="AO13" s="8"/>
      <c r="AP13" s="8"/>
      <c r="AQ13" s="8"/>
      <c r="AR13" s="8"/>
      <c r="AS13" s="8"/>
      <c r="AT13" s="8"/>
      <c r="AU13" s="8"/>
    </row>
    <row r="14" spans="1:51" s="10" customFormat="1" ht="15">
      <c r="A14" s="415"/>
      <c r="B14" s="848" t="s">
        <v>336</v>
      </c>
      <c r="C14" s="849" t="s">
        <v>341</v>
      </c>
      <c r="D14" s="523">
        <v>19575</v>
      </c>
      <c r="E14" s="388">
        <f>D14*'Wskazniki emisji paliw'!H$19</f>
        <v>243.60194879999997</v>
      </c>
      <c r="F14" s="522">
        <f>D14*'Wskazniki emisji paliw'!L$19</f>
        <v>46.952657639999998</v>
      </c>
      <c r="G14" s="521">
        <v>1990950</v>
      </c>
      <c r="H14" s="388">
        <f>G14*'Wskazniki emisji paliw'!H$18</f>
        <v>23963.487123029994</v>
      </c>
      <c r="I14" s="522">
        <f>G14*'Wskazniki emisji paliw'!L$18</f>
        <v>5330.220404573608</v>
      </c>
      <c r="J14" s="523"/>
      <c r="K14" s="388">
        <f>J14*'Wskazniki emisji paliw'!$H$28</f>
        <v>0</v>
      </c>
      <c r="L14" s="522">
        <f>J14*'Wskazniki emisji paliw'!$L$28</f>
        <v>0</v>
      </c>
      <c r="M14" s="521"/>
      <c r="N14" s="388">
        <f>M14*'Wskazniki emisji paliw'!$H$29</f>
        <v>0</v>
      </c>
      <c r="O14" s="522">
        <f>M14*'Wskazniki emisji paliw'!$M$29</f>
        <v>0</v>
      </c>
      <c r="P14" s="521">
        <v>0</v>
      </c>
      <c r="Q14" s="388">
        <f>P14*'Wskazniki emisji paliw'!H$21</f>
        <v>0</v>
      </c>
      <c r="R14" s="522">
        <f>P14*'Wskazniki emisji paliw'!L$21</f>
        <v>0</v>
      </c>
      <c r="S14" s="521"/>
      <c r="T14" s="388">
        <f>S14*'Wskazniki emisji paliw'!H$19</f>
        <v>0</v>
      </c>
      <c r="U14" s="522">
        <f>S14*'Wskazniki emisji paliw'!L$19*(1-U$7)</f>
        <v>0</v>
      </c>
      <c r="V14" s="521"/>
      <c r="W14" s="388">
        <f>V14*'Wskazniki emisji paliw'!H$18</f>
        <v>0</v>
      </c>
      <c r="X14" s="522">
        <f>V14*'Wskazniki emisji paliw'!L$18*(1-X$7)</f>
        <v>0</v>
      </c>
      <c r="Y14" s="521"/>
      <c r="Z14" s="388">
        <f t="shared" si="0"/>
        <v>0</v>
      </c>
      <c r="AA14" s="522">
        <f>Y14*(HLOOKUP(Ogolne!$D$6,'Wskazniki emisji elektrycznosc'!$B$8:$G$29,Ogolne!$E$7,TRUE))/1000</f>
        <v>0</v>
      </c>
      <c r="AB14" s="415"/>
      <c r="AC14" s="520" t="str">
        <f t="shared" si="1"/>
        <v>Ciągniki siodłowe - lokalny</v>
      </c>
      <c r="AD14" s="520" t="str">
        <f t="shared" si="2"/>
        <v>CS-l</v>
      </c>
      <c r="AE14" s="388">
        <f t="shared" si="3"/>
        <v>24207.089071829992</v>
      </c>
      <c r="AF14" s="468">
        <f t="shared" si="4"/>
        <v>5377.1730622136083</v>
      </c>
      <c r="AG14" s="971"/>
      <c r="AH14" s="971"/>
      <c r="AI14" s="971"/>
      <c r="AJ14" s="971"/>
      <c r="AK14" s="8"/>
      <c r="AL14" s="8"/>
      <c r="AM14" s="8"/>
      <c r="AN14" s="8"/>
      <c r="AO14" s="8"/>
      <c r="AP14" s="8"/>
      <c r="AQ14" s="8"/>
      <c r="AR14" s="8"/>
      <c r="AS14" s="8"/>
      <c r="AT14" s="8"/>
      <c r="AU14" s="8"/>
    </row>
    <row r="15" spans="1:51" s="10" customFormat="1" ht="15">
      <c r="A15" s="415"/>
      <c r="B15" s="848" t="s">
        <v>337</v>
      </c>
      <c r="C15" s="849" t="s">
        <v>342</v>
      </c>
      <c r="D15" s="523">
        <v>1043400</v>
      </c>
      <c r="E15" s="388">
        <f>D15*'Wskazniki emisji paliw'!H$19</f>
        <v>12984.637209599998</v>
      </c>
      <c r="F15" s="522">
        <f>D15*'Wskazniki emisji paliw'!L$19</f>
        <v>2502.7025788800001</v>
      </c>
      <c r="G15" s="521">
        <v>0</v>
      </c>
      <c r="H15" s="388">
        <f>G15*'Wskazniki emisji paliw'!H$18</f>
        <v>0</v>
      </c>
      <c r="I15" s="522">
        <f>G15*'Wskazniki emisji paliw'!L$18</f>
        <v>0</v>
      </c>
      <c r="J15" s="521"/>
      <c r="K15" s="388">
        <f>J15*'Wskazniki emisji paliw'!$H$28</f>
        <v>0</v>
      </c>
      <c r="L15" s="522">
        <f>J15*'Wskazniki emisji paliw'!$L$28</f>
        <v>0</v>
      </c>
      <c r="M15" s="521"/>
      <c r="N15" s="388">
        <f>M15*'Wskazniki emisji paliw'!$H$29</f>
        <v>0</v>
      </c>
      <c r="O15" s="522">
        <f>M15*'Wskazniki emisji paliw'!$M$29</f>
        <v>0</v>
      </c>
      <c r="P15" s="521">
        <v>0</v>
      </c>
      <c r="Q15" s="388">
        <f>P15*'Wskazniki emisji paliw'!H$21</f>
        <v>0</v>
      </c>
      <c r="R15" s="522">
        <f>P15*'Wskazniki emisji paliw'!L$21</f>
        <v>0</v>
      </c>
      <c r="S15" s="521"/>
      <c r="T15" s="388">
        <f>S15*'Wskazniki emisji paliw'!H$19</f>
        <v>0</v>
      </c>
      <c r="U15" s="522">
        <f>S15*'Wskazniki emisji paliw'!L$19*(1-U$7)</f>
        <v>0</v>
      </c>
      <c r="V15" s="521"/>
      <c r="W15" s="388">
        <f>V15*'Wskazniki emisji paliw'!H$18</f>
        <v>0</v>
      </c>
      <c r="X15" s="522">
        <f>V15*'Wskazniki emisji paliw'!L$18*(1-X$7)</f>
        <v>0</v>
      </c>
      <c r="Y15" s="521"/>
      <c r="Z15" s="388">
        <f t="shared" si="0"/>
        <v>0</v>
      </c>
      <c r="AA15" s="522">
        <f>Y15*(HLOOKUP(Ogolne!$D$6,'Wskazniki emisji elektrycznosc'!$B$8:$G$29,Ogolne!$E$7,TRUE))/1000</f>
        <v>0</v>
      </c>
      <c r="AB15" s="415"/>
      <c r="AC15" s="520" t="str">
        <f t="shared" si="1"/>
        <v>Motocykle i motorowery - lokalny</v>
      </c>
      <c r="AD15" s="520" t="str">
        <f t="shared" si="2"/>
        <v>MO-l</v>
      </c>
      <c r="AE15" s="388">
        <f t="shared" si="3"/>
        <v>12984.637209599998</v>
      </c>
      <c r="AF15" s="468">
        <f t="shared" si="4"/>
        <v>2502.7025788800001</v>
      </c>
      <c r="AG15" s="971"/>
      <c r="AH15" s="971"/>
      <c r="AI15" s="971"/>
      <c r="AJ15" s="971"/>
      <c r="AK15" s="8"/>
      <c r="AL15" s="8"/>
      <c r="AM15" s="8"/>
      <c r="AN15" s="8"/>
      <c r="AO15" s="8"/>
      <c r="AP15" s="8"/>
      <c r="AQ15" s="8"/>
      <c r="AR15" s="8"/>
      <c r="AS15" s="8"/>
      <c r="AT15" s="8"/>
      <c r="AU15" s="8"/>
    </row>
    <row r="16" spans="1:51" s="10" customFormat="1" ht="15">
      <c r="A16" s="415"/>
      <c r="B16" s="848" t="s">
        <v>343</v>
      </c>
      <c r="C16" s="849" t="s">
        <v>344</v>
      </c>
      <c r="D16" s="523">
        <v>13908626.398349004</v>
      </c>
      <c r="E16" s="388">
        <f>D16*'Wskazniki emisji paliw'!H$19</f>
        <v>173086.51319381568</v>
      </c>
      <c r="F16" s="522">
        <f>D16*'Wskazniki emisji paliw'!L$19</f>
        <v>33361.275786684397</v>
      </c>
      <c r="G16" s="521">
        <v>3960160.2485712366</v>
      </c>
      <c r="H16" s="388">
        <f>G16*'Wskazniki emisji paliw'!H$18</f>
        <v>47665.310089038947</v>
      </c>
      <c r="I16" s="522">
        <f>G16*'Wskazniki emisji paliw'!L$18</f>
        <v>10602.238610872046</v>
      </c>
      <c r="J16" s="523"/>
      <c r="K16" s="388">
        <f>J16*'Wskazniki emisji paliw'!$H$28</f>
        <v>0</v>
      </c>
      <c r="L16" s="522">
        <f>J16*'Wskazniki emisji paliw'!$L$28</f>
        <v>0</v>
      </c>
      <c r="M16" s="521"/>
      <c r="N16" s="388">
        <f>M16*'Wskazniki emisji paliw'!$H$29</f>
        <v>0</v>
      </c>
      <c r="O16" s="522">
        <f>M16*'Wskazniki emisji paliw'!$M$29</f>
        <v>0</v>
      </c>
      <c r="P16" s="521">
        <v>2680291.5308614857</v>
      </c>
      <c r="Q16" s="388">
        <f>P16*'Wskazniki emisji paliw'!H$21</f>
        <v>19730.081608231641</v>
      </c>
      <c r="R16" s="522">
        <f>P16*'Wskazniki emisji paliw'!L$21</f>
        <v>4516.7951243094049</v>
      </c>
      <c r="S16" s="521"/>
      <c r="T16" s="388">
        <f>S16*'Wskazniki emisji paliw'!H$19</f>
        <v>0</v>
      </c>
      <c r="U16" s="522">
        <f>S16*'Wskazniki emisji paliw'!L$19*(1-U$7)</f>
        <v>0</v>
      </c>
      <c r="V16" s="521"/>
      <c r="W16" s="388">
        <f>V16*'Wskazniki emisji paliw'!H$18</f>
        <v>0</v>
      </c>
      <c r="X16" s="522">
        <f>V16*'Wskazniki emisji paliw'!L$18*(1-X$7)</f>
        <v>0</v>
      </c>
      <c r="Y16" s="521"/>
      <c r="Z16" s="388">
        <f t="shared" si="0"/>
        <v>0</v>
      </c>
      <c r="AA16" s="522">
        <f>Y16*(HLOOKUP(Ogolne!$D$6,'Wskazniki emisji elektrycznosc'!$B$8:$G$29,Ogolne!$E$7,TRUE))/1000</f>
        <v>0</v>
      </c>
      <c r="AB16" s="415"/>
      <c r="AC16" s="520" t="str">
        <f t="shared" si="1"/>
        <v>Tranzyt</v>
      </c>
      <c r="AD16" s="520" t="str">
        <f t="shared" si="2"/>
        <v>TR</v>
      </c>
      <c r="AE16" s="388">
        <f t="shared" si="3"/>
        <v>240481.90489108628</v>
      </c>
      <c r="AF16" s="468">
        <f t="shared" si="4"/>
        <v>48480.309521865849</v>
      </c>
      <c r="AG16" s="971"/>
      <c r="AH16" s="971"/>
      <c r="AI16" s="971"/>
      <c r="AJ16" s="971"/>
      <c r="AK16" s="8"/>
      <c r="AL16" s="8"/>
      <c r="AM16" s="8"/>
      <c r="AN16" s="8"/>
      <c r="AO16" s="8"/>
      <c r="AP16" s="8"/>
      <c r="AQ16" s="8"/>
      <c r="AR16" s="8"/>
      <c r="AS16" s="8"/>
      <c r="AT16" s="8"/>
      <c r="AU16" s="8"/>
    </row>
    <row r="17" spans="1:48" s="10" customFormat="1" ht="15">
      <c r="A17" s="415"/>
      <c r="B17" s="848"/>
      <c r="C17" s="849"/>
      <c r="D17" s="523"/>
      <c r="E17" s="388">
        <f>D17*'Wskazniki emisji paliw'!H$19</f>
        <v>0</v>
      </c>
      <c r="F17" s="522">
        <f>D17*'Wskazniki emisji paliw'!L$19</f>
        <v>0</v>
      </c>
      <c r="G17" s="521"/>
      <c r="H17" s="388">
        <f>G17*'Wskazniki emisji paliw'!H$18</f>
        <v>0</v>
      </c>
      <c r="I17" s="522">
        <f>G17*'Wskazniki emisji paliw'!L$18</f>
        <v>0</v>
      </c>
      <c r="J17" s="523"/>
      <c r="K17" s="388">
        <f>J17*'Wskazniki emisji paliw'!$H$28</f>
        <v>0</v>
      </c>
      <c r="L17" s="522">
        <f>J17*'Wskazniki emisji paliw'!$L$28</f>
        <v>0</v>
      </c>
      <c r="M17" s="521"/>
      <c r="N17" s="388">
        <f>M17*'Wskazniki emisji paliw'!$H$29</f>
        <v>0</v>
      </c>
      <c r="O17" s="522">
        <f>M17*'Wskazniki emisji paliw'!$M$29</f>
        <v>0</v>
      </c>
      <c r="P17" s="521"/>
      <c r="Q17" s="388">
        <f>P17*'Wskazniki emisji paliw'!H$21</f>
        <v>0</v>
      </c>
      <c r="R17" s="522">
        <f>P17*'Wskazniki emisji paliw'!L$21</f>
        <v>0</v>
      </c>
      <c r="S17" s="521"/>
      <c r="T17" s="388">
        <f>S17*'Wskazniki emisji paliw'!H$19</f>
        <v>0</v>
      </c>
      <c r="U17" s="522">
        <f>S17*'Wskazniki emisji paliw'!L$19*(1-U$7)</f>
        <v>0</v>
      </c>
      <c r="V17" s="521"/>
      <c r="W17" s="388">
        <f>V17*'Wskazniki emisji paliw'!H$18</f>
        <v>0</v>
      </c>
      <c r="X17" s="522">
        <f>V17*'Wskazniki emisji paliw'!L$18*(1-X$7)</f>
        <v>0</v>
      </c>
      <c r="Y17" s="521"/>
      <c r="Z17" s="388">
        <f t="shared" si="0"/>
        <v>0</v>
      </c>
      <c r="AA17" s="522">
        <f>Y17*(HLOOKUP(Ogolne!$D$6,'Wskazniki emisji elektrycznosc'!$B$8:$G$29,Ogolne!$E$7,TRUE))/1000</f>
        <v>0</v>
      </c>
      <c r="AB17" s="415"/>
      <c r="AC17" s="520">
        <f t="shared" si="1"/>
        <v>0</v>
      </c>
      <c r="AD17" s="520">
        <f t="shared" si="2"/>
        <v>0</v>
      </c>
      <c r="AE17" s="388">
        <f t="shared" si="3"/>
        <v>0</v>
      </c>
      <c r="AF17" s="468">
        <f t="shared" si="4"/>
        <v>0</v>
      </c>
      <c r="AG17" s="971"/>
      <c r="AH17" s="971"/>
      <c r="AI17" s="971"/>
      <c r="AJ17" s="971"/>
      <c r="AK17" s="8"/>
      <c r="AL17" s="8"/>
      <c r="AM17" s="8"/>
      <c r="AN17" s="8"/>
      <c r="AO17" s="8"/>
      <c r="AP17" s="8"/>
      <c r="AQ17" s="8"/>
      <c r="AR17" s="8"/>
      <c r="AS17" s="8"/>
      <c r="AT17" s="8"/>
      <c r="AU17" s="8"/>
    </row>
    <row r="18" spans="1:48" s="10" customFormat="1" ht="15">
      <c r="A18" s="415"/>
      <c r="B18" s="848"/>
      <c r="C18" s="849"/>
      <c r="D18" s="523"/>
      <c r="E18" s="388">
        <f>D18*'Wskazniki emisji paliw'!H$19</f>
        <v>0</v>
      </c>
      <c r="F18" s="522">
        <f>D18*'Wskazniki emisji paliw'!L$19</f>
        <v>0</v>
      </c>
      <c r="G18" s="521"/>
      <c r="H18" s="388">
        <f>G18*'Wskazniki emisji paliw'!H$18</f>
        <v>0</v>
      </c>
      <c r="I18" s="522">
        <f>G18*'Wskazniki emisji paliw'!L$18</f>
        <v>0</v>
      </c>
      <c r="J18" s="523"/>
      <c r="K18" s="388">
        <f>J18*'Wskazniki emisji paliw'!$H$28</f>
        <v>0</v>
      </c>
      <c r="L18" s="522">
        <f>J18*'Wskazniki emisji paliw'!$L$28</f>
        <v>0</v>
      </c>
      <c r="M18" s="521"/>
      <c r="N18" s="388">
        <f>M18*'Wskazniki emisji paliw'!$H$29</f>
        <v>0</v>
      </c>
      <c r="O18" s="522">
        <f>M18*'Wskazniki emisji paliw'!$M$29</f>
        <v>0</v>
      </c>
      <c r="P18" s="521"/>
      <c r="Q18" s="388">
        <f>P18*'Wskazniki emisji paliw'!H$21</f>
        <v>0</v>
      </c>
      <c r="R18" s="522">
        <f>P18*'Wskazniki emisji paliw'!L$21</f>
        <v>0</v>
      </c>
      <c r="S18" s="521"/>
      <c r="T18" s="388">
        <f>S18*'Wskazniki emisji paliw'!H$19</f>
        <v>0</v>
      </c>
      <c r="U18" s="522">
        <f>S18*'Wskazniki emisji paliw'!L$19*(1-U$7)</f>
        <v>0</v>
      </c>
      <c r="V18" s="521"/>
      <c r="W18" s="388">
        <f>V18*'Wskazniki emisji paliw'!H$18</f>
        <v>0</v>
      </c>
      <c r="X18" s="522">
        <f>V18*'Wskazniki emisji paliw'!L$18*(1-X$7)</f>
        <v>0</v>
      </c>
      <c r="Y18" s="521"/>
      <c r="Z18" s="388">
        <f t="shared" si="0"/>
        <v>0</v>
      </c>
      <c r="AA18" s="522">
        <f>Y18*(HLOOKUP(Ogolne!$D$6,'Wskazniki emisji elektrycznosc'!$B$8:$G$29,Ogolne!$E$7,TRUE))/1000</f>
        <v>0</v>
      </c>
      <c r="AB18" s="415"/>
      <c r="AC18" s="520">
        <f t="shared" si="1"/>
        <v>0</v>
      </c>
      <c r="AD18" s="520">
        <f t="shared" si="2"/>
        <v>0</v>
      </c>
      <c r="AE18" s="388">
        <f t="shared" si="3"/>
        <v>0</v>
      </c>
      <c r="AF18" s="468">
        <f t="shared" si="4"/>
        <v>0</v>
      </c>
      <c r="AG18" s="971"/>
      <c r="AH18" s="971"/>
      <c r="AI18" s="971"/>
      <c r="AJ18" s="971"/>
      <c r="AK18" s="8"/>
      <c r="AL18" s="8"/>
      <c r="AM18" s="8"/>
      <c r="AN18" s="8"/>
      <c r="AO18" s="8"/>
      <c r="AP18" s="8"/>
      <c r="AQ18" s="8"/>
      <c r="AR18" s="8"/>
      <c r="AS18" s="8"/>
      <c r="AT18" s="8"/>
      <c r="AU18" s="8"/>
    </row>
    <row r="19" spans="1:48" s="10" customFormat="1" ht="15">
      <c r="A19" s="415"/>
      <c r="B19" s="850" t="s">
        <v>441</v>
      </c>
      <c r="C19" s="849"/>
      <c r="D19" s="523"/>
      <c r="E19" s="388">
        <f>D19*'Wskazniki emisji paliw'!H$19</f>
        <v>0</v>
      </c>
      <c r="F19" s="522">
        <f>D19*'Wskazniki emisji paliw'!L$19</f>
        <v>0</v>
      </c>
      <c r="G19" s="521"/>
      <c r="H19" s="388">
        <f>G19*'Wskazniki emisji paliw'!H$18</f>
        <v>0</v>
      </c>
      <c r="I19" s="522">
        <f>G19*'Wskazniki emisji paliw'!L$18</f>
        <v>0</v>
      </c>
      <c r="J19" s="523"/>
      <c r="K19" s="388">
        <f>J19*'Wskazniki emisji paliw'!$H$28</f>
        <v>0</v>
      </c>
      <c r="L19" s="522">
        <f>J19*'Wskazniki emisji paliw'!$L$28</f>
        <v>0</v>
      </c>
      <c r="M19" s="521"/>
      <c r="N19" s="388">
        <f>M19*'Wskazniki emisji paliw'!$H$29</f>
        <v>0</v>
      </c>
      <c r="O19" s="522">
        <f>M19*'Wskazniki emisji paliw'!$M$29</f>
        <v>0</v>
      </c>
      <c r="P19" s="521"/>
      <c r="Q19" s="388">
        <f>P19*'Wskazniki emisji paliw'!H$21</f>
        <v>0</v>
      </c>
      <c r="R19" s="522">
        <f>P19*'Wskazniki emisji paliw'!L$21</f>
        <v>0</v>
      </c>
      <c r="S19" s="521"/>
      <c r="T19" s="388">
        <f>S19*'Wskazniki emisji paliw'!H$19</f>
        <v>0</v>
      </c>
      <c r="U19" s="522">
        <f>S19*'Wskazniki emisji paliw'!L$19*(1-$U$7)</f>
        <v>0</v>
      </c>
      <c r="V19" s="521"/>
      <c r="W19" s="388">
        <f>V19*'Wskazniki emisji paliw'!H$18</f>
        <v>0</v>
      </c>
      <c r="X19" s="522">
        <f>V19*'Wskazniki emisji paliw'!L$18*(1-X$7)</f>
        <v>0</v>
      </c>
      <c r="Y19" s="521"/>
      <c r="Z19" s="388">
        <f t="shared" si="0"/>
        <v>0</v>
      </c>
      <c r="AA19" s="522">
        <f>Y19*(HLOOKUP(Ogolne!$D$6,'Wskazniki emisji elektrycznosc'!$B$8:$G$29,Ogolne!$E$7,TRUE))/1000</f>
        <v>0</v>
      </c>
      <c r="AB19" s="415"/>
      <c r="AC19" s="520" t="str">
        <f t="shared" si="1"/>
        <v>Skopiuj i wklej ten wiersz zanim go wypełnisz.</v>
      </c>
      <c r="AD19" s="520">
        <f t="shared" si="2"/>
        <v>0</v>
      </c>
      <c r="AE19" s="388">
        <f t="shared" si="3"/>
        <v>0</v>
      </c>
      <c r="AF19" s="468">
        <f t="shared" si="4"/>
        <v>0</v>
      </c>
      <c r="AG19" s="971"/>
      <c r="AH19" s="971"/>
      <c r="AI19" s="971"/>
      <c r="AJ19" s="971"/>
      <c r="AK19" s="8"/>
      <c r="AL19" s="8"/>
      <c r="AM19" s="8"/>
      <c r="AN19" s="8"/>
      <c r="AO19" s="8"/>
      <c r="AP19" s="8"/>
      <c r="AQ19" s="8"/>
      <c r="AR19" s="8"/>
      <c r="AS19" s="8"/>
      <c r="AT19" s="8"/>
      <c r="AU19" s="8"/>
    </row>
    <row r="20" spans="1:48" s="57" customFormat="1" ht="15">
      <c r="A20" s="415"/>
      <c r="B20" s="851" t="s">
        <v>507</v>
      </c>
      <c r="C20" s="852"/>
      <c r="D20" s="841">
        <f>SUM(D11:D19)-'Sam-Pojazdy'!D70</f>
        <v>168345243.608785</v>
      </c>
      <c r="E20" s="524">
        <f>SUM(E11:E19)-('Sam-Pojazdy'!D70*'Wskazniki emisji paliw'!H$19)</f>
        <v>2094979.7912802435</v>
      </c>
      <c r="F20" s="525">
        <f>SUM(F11:F19)-'Sam-Pojazdy'!F70</f>
        <v>403793.44002481131</v>
      </c>
      <c r="G20" s="526">
        <f>SUM(G11:G19)-'Sam-Pojazdy'!G70</f>
        <v>41538832.94601924</v>
      </c>
      <c r="H20" s="524">
        <f>SUM(H11:H19)-('Sam-Pojazdy'!G70*'Wskazniki emisji paliw'!H$18)</f>
        <v>499970.00849224039</v>
      </c>
      <c r="I20" s="525">
        <f>SUM(I11:I19)-'Sam-Pojazdy'!I70</f>
        <v>111208.78723777403</v>
      </c>
      <c r="J20" s="527">
        <f t="shared" ref="J20:AA20" si="5">SUM(J11:J19)</f>
        <v>0</v>
      </c>
      <c r="K20" s="524">
        <f t="shared" si="5"/>
        <v>0</v>
      </c>
      <c r="L20" s="525">
        <f t="shared" si="5"/>
        <v>0</v>
      </c>
      <c r="M20" s="526">
        <f t="shared" si="5"/>
        <v>0</v>
      </c>
      <c r="N20" s="524">
        <f t="shared" si="5"/>
        <v>0</v>
      </c>
      <c r="O20" s="525">
        <f t="shared" si="5"/>
        <v>0</v>
      </c>
      <c r="P20" s="526">
        <f>SUM(P11:P19)-'Sam-Pojazdy'!P70</f>
        <v>32592379.156461485</v>
      </c>
      <c r="Q20" s="524">
        <f>SUM(Q11:Q19)-('Sam-Pojazdy'!P70*'Wskazniki emisji paliw'!H$21)</f>
        <v>239918.04367516958</v>
      </c>
      <c r="R20" s="525">
        <f>SUM(R11:R19)-'Sam-Pojazdy'!R70</f>
        <v>54924.286245919015</v>
      </c>
      <c r="S20" s="526">
        <f t="shared" si="5"/>
        <v>0</v>
      </c>
      <c r="T20" s="524">
        <f t="shared" si="5"/>
        <v>0</v>
      </c>
      <c r="U20" s="525">
        <f t="shared" si="5"/>
        <v>0</v>
      </c>
      <c r="V20" s="526">
        <f t="shared" si="5"/>
        <v>0</v>
      </c>
      <c r="W20" s="524">
        <f t="shared" si="5"/>
        <v>0</v>
      </c>
      <c r="X20" s="525">
        <f t="shared" si="5"/>
        <v>0</v>
      </c>
      <c r="Y20" s="526">
        <f t="shared" si="5"/>
        <v>0</v>
      </c>
      <c r="Z20" s="524">
        <f t="shared" si="5"/>
        <v>0</v>
      </c>
      <c r="AA20" s="525">
        <f t="shared" si="5"/>
        <v>0</v>
      </c>
      <c r="AB20" s="415"/>
      <c r="AC20" s="492" t="s">
        <v>507</v>
      </c>
      <c r="AD20" s="528"/>
      <c r="AE20" s="529">
        <f>SUM(Q20,H20,E20)</f>
        <v>2834867.8434476536</v>
      </c>
      <c r="AF20" s="530">
        <f>SUM(AF11:AF19)-(SUM('Sam-Pojazdy'!R70,'Sam-Pojazdy'!I70,'Sam-Pojazdy'!F70))</f>
        <v>569926.51350850426</v>
      </c>
      <c r="AG20" s="971" t="s">
        <v>568</v>
      </c>
      <c r="AH20" s="971"/>
      <c r="AI20" s="971"/>
      <c r="AJ20" s="971"/>
      <c r="AK20" s="50"/>
      <c r="AL20" s="50"/>
      <c r="AM20" s="50"/>
      <c r="AN20" s="50"/>
      <c r="AO20" s="50"/>
      <c r="AP20" s="50"/>
      <c r="AQ20" s="50"/>
      <c r="AR20" s="50"/>
      <c r="AS20" s="50"/>
      <c r="AT20" s="50"/>
      <c r="AU20" s="50"/>
    </row>
    <row r="21" spans="1:48" s="10" customFormat="1" ht="14.25">
      <c r="A21" s="415"/>
      <c r="B21" s="415"/>
      <c r="C21" s="415"/>
      <c r="D21" s="415"/>
      <c r="E21" s="415"/>
      <c r="F21" s="415"/>
      <c r="G21" s="415"/>
      <c r="H21" s="415"/>
      <c r="I21" s="415"/>
      <c r="J21" s="415"/>
      <c r="K21" s="415"/>
      <c r="L21" s="415"/>
      <c r="M21" s="415"/>
      <c r="N21" s="415"/>
      <c r="O21" s="415"/>
      <c r="P21" s="415"/>
      <c r="Q21" s="415"/>
      <c r="R21" s="415"/>
      <c r="S21" s="415"/>
      <c r="T21" s="415"/>
      <c r="U21" s="415"/>
      <c r="V21" s="415"/>
      <c r="W21" s="415"/>
      <c r="X21" s="415"/>
      <c r="Y21" s="8"/>
      <c r="Z21" s="415"/>
      <c r="AA21" s="415"/>
      <c r="AB21" s="8"/>
      <c r="AC21" s="415"/>
      <c r="AD21" s="415"/>
      <c r="AE21" s="415"/>
      <c r="AF21" s="415"/>
      <c r="AG21" s="415"/>
      <c r="AH21" s="8"/>
      <c r="AI21" s="8"/>
      <c r="AJ21" s="531"/>
      <c r="AK21" s="8"/>
      <c r="AL21" s="8"/>
      <c r="AM21" s="8"/>
      <c r="AN21" s="8"/>
      <c r="AO21" s="8"/>
      <c r="AP21" s="8"/>
      <c r="AQ21" s="8"/>
      <c r="AR21" s="8"/>
      <c r="AS21" s="8"/>
      <c r="AT21" s="8"/>
      <c r="AU21" s="8"/>
      <c r="AV21" s="8"/>
    </row>
    <row r="22" spans="1:48" s="10" customFormat="1" ht="15">
      <c r="A22" s="415"/>
      <c r="B22" s="499" t="s">
        <v>392</v>
      </c>
      <c r="C22" s="500">
        <v>1</v>
      </c>
      <c r="D22" s="415" t="s">
        <v>567</v>
      </c>
      <c r="E22" s="415"/>
      <c r="F22" s="415"/>
      <c r="G22" s="415"/>
      <c r="H22" s="415"/>
      <c r="I22" s="415"/>
      <c r="J22" s="415"/>
      <c r="K22" s="415"/>
      <c r="L22" s="415"/>
      <c r="M22" s="415"/>
      <c r="N22" s="415"/>
      <c r="O22" s="415"/>
      <c r="P22" s="415"/>
      <c r="Q22" s="415"/>
      <c r="R22" s="415"/>
      <c r="S22" s="415"/>
      <c r="T22" s="415"/>
      <c r="U22" s="415"/>
      <c r="V22" s="415"/>
      <c r="W22" s="415"/>
      <c r="X22" s="8"/>
      <c r="Y22" s="415"/>
      <c r="Z22" s="415"/>
      <c r="AA22" s="8"/>
      <c r="AB22" s="415"/>
      <c r="AC22" s="415"/>
      <c r="AD22" s="415"/>
      <c r="AE22" s="415"/>
      <c r="AF22" s="415"/>
      <c r="AG22" s="8"/>
      <c r="AH22" s="8"/>
      <c r="AI22" s="531"/>
      <c r="AJ22" s="8"/>
      <c r="AK22" s="8"/>
      <c r="AL22" s="8"/>
      <c r="AM22" s="8"/>
      <c r="AN22" s="8"/>
      <c r="AO22" s="8"/>
      <c r="AP22" s="8"/>
      <c r="AQ22" s="8"/>
      <c r="AR22" s="8"/>
      <c r="AS22" s="8"/>
      <c r="AT22" s="8"/>
      <c r="AU22" s="8"/>
    </row>
    <row r="23" spans="1:48" s="10" customFormat="1" ht="14.25">
      <c r="A23" s="415"/>
      <c r="B23" s="415"/>
      <c r="C23" s="500">
        <v>2</v>
      </c>
      <c r="D23" s="415"/>
      <c r="E23" s="415"/>
      <c r="F23" s="415"/>
      <c r="G23" s="415"/>
      <c r="H23" s="415"/>
      <c r="I23" s="415"/>
      <c r="J23" s="415"/>
      <c r="K23" s="415"/>
      <c r="L23" s="415"/>
      <c r="M23" s="415"/>
      <c r="N23" s="415"/>
      <c r="O23" s="415"/>
      <c r="P23" s="415"/>
      <c r="Q23" s="415"/>
      <c r="R23" s="415"/>
      <c r="S23" s="415"/>
      <c r="T23" s="415"/>
      <c r="U23" s="415"/>
      <c r="V23" s="415"/>
      <c r="W23" s="415"/>
      <c r="X23" s="8"/>
      <c r="Y23" s="415"/>
      <c r="Z23" s="415"/>
      <c r="AA23" s="8"/>
      <c r="AB23" s="415"/>
      <c r="AC23" s="415"/>
      <c r="AD23" s="415"/>
      <c r="AE23" s="415"/>
      <c r="AF23" s="415"/>
      <c r="AG23" s="8"/>
      <c r="AH23" s="8"/>
      <c r="AI23" s="531"/>
      <c r="AJ23" s="8"/>
      <c r="AK23" s="8"/>
      <c r="AL23" s="8"/>
      <c r="AM23" s="8"/>
      <c r="AN23" s="8"/>
      <c r="AO23" s="8"/>
      <c r="AP23" s="8"/>
      <c r="AQ23" s="8"/>
      <c r="AR23" s="8"/>
      <c r="AS23" s="8"/>
      <c r="AT23" s="8"/>
      <c r="AU23" s="8"/>
    </row>
    <row r="24" spans="1:48" s="10" customFormat="1" ht="14.25">
      <c r="A24" s="415"/>
      <c r="B24" s="415"/>
      <c r="C24" s="500">
        <v>3</v>
      </c>
      <c r="D24" s="415"/>
      <c r="E24" s="415"/>
      <c r="F24" s="415"/>
      <c r="G24" s="415"/>
      <c r="H24" s="415"/>
      <c r="I24" s="415"/>
      <c r="J24" s="415"/>
      <c r="K24" s="415"/>
      <c r="L24" s="415"/>
      <c r="M24" s="415"/>
      <c r="N24" s="415"/>
      <c r="O24" s="415"/>
      <c r="P24" s="415"/>
      <c r="Q24" s="415"/>
      <c r="R24" s="415"/>
      <c r="S24" s="415"/>
      <c r="T24" s="415"/>
      <c r="U24" s="415"/>
      <c r="V24" s="415"/>
      <c r="W24" s="415"/>
      <c r="X24" s="8"/>
      <c r="Y24" s="415"/>
      <c r="Z24" s="415"/>
      <c r="AA24" s="8"/>
      <c r="AB24" s="8"/>
      <c r="AC24" s="415"/>
      <c r="AD24" s="415"/>
      <c r="AE24" s="415"/>
      <c r="AF24" s="415"/>
      <c r="AG24" s="8"/>
      <c r="AH24" s="8"/>
      <c r="AI24" s="531"/>
      <c r="AJ24" s="8"/>
      <c r="AK24" s="8"/>
      <c r="AL24" s="8"/>
      <c r="AM24" s="8"/>
      <c r="AN24" s="8"/>
      <c r="AO24" s="8"/>
      <c r="AP24" s="8"/>
      <c r="AQ24" s="8"/>
      <c r="AR24" s="8"/>
      <c r="AS24" s="8"/>
      <c r="AT24" s="8"/>
      <c r="AU24" s="8"/>
    </row>
    <row r="25" spans="1:48" s="10" customFormat="1" ht="14.25">
      <c r="A25" s="415"/>
      <c r="B25" s="415"/>
      <c r="C25" s="415"/>
      <c r="D25" s="415"/>
      <c r="E25" s="415"/>
      <c r="F25" s="415"/>
      <c r="G25" s="415"/>
      <c r="H25" s="415"/>
      <c r="I25" s="415"/>
      <c r="J25" s="415"/>
      <c r="K25" s="415"/>
      <c r="L25" s="415"/>
      <c r="M25" s="415"/>
      <c r="N25" s="415"/>
      <c r="O25" s="415"/>
      <c r="P25" s="415"/>
      <c r="Q25" s="415"/>
      <c r="R25" s="415"/>
      <c r="S25" s="415"/>
      <c r="T25" s="415"/>
      <c r="U25" s="415"/>
      <c r="V25" s="415"/>
      <c r="W25" s="415"/>
      <c r="X25" s="8"/>
      <c r="Y25" s="415"/>
      <c r="Z25" s="415"/>
      <c r="AA25" s="8"/>
      <c r="AB25" s="8"/>
      <c r="AC25" s="415"/>
      <c r="AD25" s="415"/>
      <c r="AE25" s="415"/>
      <c r="AF25" s="415"/>
      <c r="AG25" s="8"/>
      <c r="AH25" s="8"/>
      <c r="AI25" s="531"/>
      <c r="AJ25" s="8"/>
      <c r="AK25" s="8"/>
      <c r="AL25" s="8"/>
      <c r="AM25" s="8"/>
      <c r="AN25" s="8"/>
      <c r="AO25" s="8"/>
      <c r="AP25" s="8"/>
      <c r="AQ25" s="8"/>
      <c r="AR25" s="8"/>
      <c r="AS25" s="8"/>
      <c r="AT25" s="8"/>
      <c r="AU25" s="8"/>
    </row>
    <row r="26" spans="1:48">
      <c r="A26" s="145"/>
      <c r="B26" s="145"/>
      <c r="C26" s="145"/>
      <c r="D26" s="145"/>
      <c r="E26" s="145"/>
      <c r="F26" s="145"/>
      <c r="G26" s="145"/>
      <c r="H26" s="145"/>
      <c r="I26" s="145"/>
      <c r="J26" s="145"/>
      <c r="K26" s="145"/>
      <c r="L26" s="145"/>
      <c r="M26" s="145"/>
      <c r="N26" s="145"/>
      <c r="O26" s="145"/>
      <c r="P26" s="145"/>
      <c r="Q26" s="145"/>
      <c r="R26" s="145"/>
      <c r="S26" s="145"/>
      <c r="T26" s="145"/>
      <c r="U26" s="145"/>
      <c r="V26" s="145"/>
      <c r="W26" s="145"/>
      <c r="X26" s="146"/>
      <c r="Y26" s="145"/>
      <c r="Z26" s="145"/>
      <c r="AA26" s="146"/>
      <c r="AB26" s="146"/>
      <c r="AC26" s="145"/>
      <c r="AD26" s="145"/>
      <c r="AE26" s="145"/>
      <c r="AF26" s="145"/>
      <c r="AG26" s="146"/>
      <c r="AH26" s="146"/>
      <c r="AI26" s="147"/>
      <c r="AJ26" s="146"/>
      <c r="AK26" s="146"/>
      <c r="AL26" s="146"/>
      <c r="AM26" s="146"/>
      <c r="AN26" s="146"/>
      <c r="AO26" s="146"/>
      <c r="AP26" s="146"/>
      <c r="AQ26" s="146"/>
      <c r="AR26" s="146"/>
      <c r="AS26" s="146"/>
      <c r="AT26" s="146"/>
      <c r="AU26" s="146"/>
    </row>
    <row r="27" spans="1:48">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6"/>
      <c r="Y27" s="145"/>
      <c r="Z27" s="145"/>
      <c r="AA27" s="146"/>
      <c r="AB27" s="146"/>
      <c r="AC27" s="145"/>
      <c r="AD27" s="145"/>
      <c r="AE27" s="145"/>
      <c r="AF27" s="145"/>
      <c r="AG27" s="146"/>
      <c r="AH27" s="146"/>
      <c r="AI27" s="147"/>
      <c r="AJ27" s="146"/>
      <c r="AK27" s="146"/>
      <c r="AL27" s="146"/>
      <c r="AM27" s="146"/>
      <c r="AN27" s="146"/>
      <c r="AO27" s="146"/>
      <c r="AP27" s="146"/>
      <c r="AQ27" s="146"/>
      <c r="AR27" s="146"/>
      <c r="AS27" s="146"/>
      <c r="AT27" s="146"/>
      <c r="AU27" s="146"/>
    </row>
    <row r="28" spans="1:48" ht="12.95" customHeight="1">
      <c r="A28" s="145"/>
      <c r="B28" s="532" t="s">
        <v>560</v>
      </c>
      <c r="C28" s="980" t="s">
        <v>569</v>
      </c>
      <c r="D28" s="980"/>
      <c r="E28" s="980"/>
      <c r="F28" s="980"/>
      <c r="G28" s="980"/>
      <c r="H28" s="980"/>
      <c r="I28" s="980"/>
      <c r="J28" s="980"/>
      <c r="K28" s="980"/>
      <c r="L28" s="980"/>
      <c r="M28" s="145"/>
      <c r="N28" s="145"/>
      <c r="O28" s="145"/>
      <c r="P28" s="145"/>
      <c r="Q28" s="145"/>
      <c r="R28" s="145"/>
      <c r="S28" s="145"/>
      <c r="T28" s="145"/>
      <c r="U28" s="145"/>
      <c r="V28" s="145"/>
      <c r="W28" s="145"/>
      <c r="X28" s="146"/>
      <c r="Y28" s="145"/>
      <c r="Z28" s="145"/>
      <c r="AA28" s="146"/>
      <c r="AB28" s="146"/>
      <c r="AC28" s="145"/>
      <c r="AD28" s="145"/>
      <c r="AE28" s="145"/>
      <c r="AF28" s="145"/>
      <c r="AG28" s="146"/>
      <c r="AH28" s="146"/>
      <c r="AI28" s="147"/>
      <c r="AJ28" s="146"/>
      <c r="AK28" s="146"/>
      <c r="AL28" s="146"/>
      <c r="AM28" s="146"/>
      <c r="AN28" s="146"/>
      <c r="AO28" s="146"/>
      <c r="AP28" s="146"/>
      <c r="AQ28" s="146"/>
      <c r="AR28" s="146"/>
      <c r="AS28" s="146"/>
      <c r="AT28" s="146"/>
      <c r="AU28" s="146"/>
    </row>
  </sheetData>
  <mergeCells count="25">
    <mergeCell ref="S5:U5"/>
    <mergeCell ref="V5:X5"/>
    <mergeCell ref="C6:L6"/>
    <mergeCell ref="D9:F9"/>
    <mergeCell ref="G9:I9"/>
    <mergeCell ref="J9:L9"/>
    <mergeCell ref="D1:I1"/>
    <mergeCell ref="B3:L3"/>
    <mergeCell ref="Y9:AA9"/>
    <mergeCell ref="AG10:AJ10"/>
    <mergeCell ref="AG11:AJ11"/>
    <mergeCell ref="AG12:AJ12"/>
    <mergeCell ref="M9:O9"/>
    <mergeCell ref="P9:R9"/>
    <mergeCell ref="S9:U9"/>
    <mergeCell ref="V9:X9"/>
    <mergeCell ref="C28:L28"/>
    <mergeCell ref="AG17:AJ17"/>
    <mergeCell ref="AG18:AJ18"/>
    <mergeCell ref="AG19:AJ19"/>
    <mergeCell ref="AG20:AJ20"/>
    <mergeCell ref="AG13:AJ13"/>
    <mergeCell ref="AG14:AJ14"/>
    <mergeCell ref="AG15:AJ15"/>
    <mergeCell ref="AG16:AJ16"/>
  </mergeCells>
  <phoneticPr fontId="37" type="noConversion"/>
  <pageMargins left="0.75" right="0.75" top="1" bottom="1" header="0.51180555555555551" footer="0.51180555555555551"/>
  <pageSetup paperSize="9" scale="40" firstPageNumber="0" orientation="landscape" horizontalDpi="300" verticalDpi="300"/>
  <headerFooter alignWithMargins="0"/>
  <colBreaks count="1" manualBreakCount="1">
    <brk id="24" max="1048575" man="1"/>
  </colBreaks>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AY30"/>
  <sheetViews>
    <sheetView workbookViewId="0">
      <selection activeCell="B4" sqref="B4"/>
    </sheetView>
  </sheetViews>
  <sheetFormatPr defaultRowHeight="12.75"/>
  <cols>
    <col min="2" max="2" width="51.6640625" customWidth="1"/>
    <col min="4" max="5" width="17.1640625" customWidth="1"/>
    <col min="6" max="6" width="49.33203125" customWidth="1"/>
  </cols>
  <sheetData>
    <row r="1" spans="1:51" s="144" customFormat="1" ht="14.25">
      <c r="A1" s="138"/>
      <c r="B1" s="139" t="s">
        <v>443</v>
      </c>
      <c r="C1" s="967" t="str">
        <f>Ogolne!D5</f>
        <v>Bydgoszcz</v>
      </c>
      <c r="D1" s="967"/>
      <c r="E1" s="967"/>
      <c r="F1" s="967"/>
      <c r="G1" s="374"/>
      <c r="H1" s="374"/>
      <c r="I1" s="374"/>
      <c r="J1" s="374"/>
      <c r="K1" s="374"/>
      <c r="L1" s="374"/>
      <c r="M1" s="140"/>
      <c r="N1" s="140"/>
      <c r="O1" s="140"/>
      <c r="P1" s="141"/>
      <c r="Q1" s="140"/>
      <c r="R1" s="140"/>
      <c r="S1" s="140"/>
      <c r="T1" s="140"/>
      <c r="U1" s="140"/>
      <c r="V1" s="140"/>
      <c r="W1" s="140"/>
      <c r="X1" s="140"/>
      <c r="Y1" s="140"/>
      <c r="Z1" s="140"/>
      <c r="AA1" s="140"/>
      <c r="AB1" s="138"/>
      <c r="AC1" s="138"/>
      <c r="AD1" s="138"/>
      <c r="AE1" s="138"/>
      <c r="AF1" s="138"/>
      <c r="AG1" s="138"/>
      <c r="AH1" s="138"/>
      <c r="AI1" s="138"/>
      <c r="AJ1" s="142"/>
      <c r="AK1" s="142"/>
      <c r="AL1" s="142"/>
      <c r="AM1" s="142"/>
      <c r="AN1" s="142"/>
      <c r="AO1" s="142"/>
      <c r="AP1" s="138"/>
      <c r="AQ1" s="143"/>
      <c r="AR1" s="138"/>
      <c r="AS1" s="138"/>
      <c r="AT1" s="138"/>
      <c r="AU1" s="138"/>
      <c r="AV1" s="138"/>
      <c r="AW1" s="138"/>
      <c r="AX1" s="138"/>
      <c r="AY1" s="138"/>
    </row>
    <row r="2" spans="1:51">
      <c r="A2" s="146"/>
      <c r="B2" s="146"/>
      <c r="C2" s="146"/>
      <c r="D2" s="146"/>
      <c r="E2" s="146"/>
      <c r="F2" s="146"/>
      <c r="G2" s="146"/>
      <c r="H2" s="146"/>
      <c r="I2" s="146"/>
      <c r="J2" s="146"/>
      <c r="K2" s="146"/>
      <c r="L2" s="146"/>
      <c r="M2" s="146"/>
      <c r="N2" s="146"/>
      <c r="O2" s="146"/>
      <c r="P2" s="146"/>
      <c r="Q2" s="146"/>
    </row>
    <row r="3" spans="1:51" ht="26.25">
      <c r="A3" s="146"/>
      <c r="B3" s="934" t="s">
        <v>578</v>
      </c>
      <c r="C3" s="934"/>
      <c r="D3" s="934"/>
      <c r="E3" s="934"/>
      <c r="F3" s="934"/>
      <c r="G3" s="934"/>
      <c r="H3" s="934"/>
      <c r="I3" s="146"/>
      <c r="J3" s="146"/>
      <c r="K3" s="146"/>
      <c r="L3" s="146"/>
      <c r="M3" s="146"/>
      <c r="N3" s="146"/>
      <c r="O3" s="146"/>
      <c r="P3" s="146"/>
      <c r="Q3" s="146"/>
    </row>
    <row r="4" spans="1:51" ht="15.75">
      <c r="A4" s="146"/>
      <c r="B4" s="533"/>
      <c r="D4" s="149" t="s">
        <v>538</v>
      </c>
      <c r="E4" s="150">
        <f>comyear</f>
        <v>2005</v>
      </c>
      <c r="F4" s="146"/>
      <c r="G4" s="146"/>
      <c r="H4" s="146"/>
      <c r="I4" s="146"/>
      <c r="J4" s="146"/>
      <c r="K4" s="146"/>
      <c r="L4" s="146"/>
      <c r="M4" s="146"/>
      <c r="N4" s="146"/>
      <c r="O4" s="146"/>
      <c r="P4" s="146"/>
      <c r="Q4" s="146"/>
    </row>
    <row r="5" spans="1:51">
      <c r="A5" s="146"/>
      <c r="B5" s="146"/>
      <c r="C5" s="146"/>
      <c r="D5" s="146"/>
      <c r="E5" s="146"/>
      <c r="F5" s="146"/>
      <c r="G5" s="146"/>
      <c r="H5" s="146"/>
      <c r="I5" s="146"/>
      <c r="J5" s="146"/>
      <c r="K5" s="146"/>
      <c r="L5" s="146"/>
      <c r="M5" s="146"/>
      <c r="N5" s="146"/>
      <c r="O5" s="146"/>
      <c r="P5" s="146"/>
      <c r="Q5" s="146"/>
    </row>
    <row r="6" spans="1:51">
      <c r="A6" s="146"/>
      <c r="B6" s="534" t="s">
        <v>442</v>
      </c>
      <c r="C6" s="986" t="s">
        <v>573</v>
      </c>
      <c r="D6" s="986"/>
      <c r="E6" s="986"/>
      <c r="F6" s="986"/>
      <c r="G6" s="986"/>
      <c r="H6" s="986"/>
      <c r="I6" s="146"/>
      <c r="J6" s="146"/>
      <c r="K6" s="146"/>
      <c r="L6" s="146"/>
      <c r="M6" s="146"/>
      <c r="N6" s="146"/>
      <c r="O6" s="146"/>
      <c r="P6" s="146"/>
      <c r="Q6" s="146"/>
    </row>
    <row r="7" spans="1:51">
      <c r="A7" s="146"/>
      <c r="B7" s="146"/>
      <c r="C7" s="146"/>
      <c r="D7" s="146"/>
      <c r="E7" s="146"/>
      <c r="F7" s="146"/>
      <c r="G7" s="146"/>
      <c r="H7" s="146"/>
      <c r="I7" s="146"/>
      <c r="J7" s="146"/>
      <c r="K7" s="146"/>
      <c r="L7" s="146"/>
      <c r="M7" s="146"/>
      <c r="N7" s="146"/>
      <c r="O7" s="146"/>
      <c r="P7" s="146"/>
      <c r="Q7" s="146"/>
    </row>
    <row r="8" spans="1:51" ht="14.25">
      <c r="A8" s="146"/>
      <c r="B8" s="281"/>
      <c r="C8" s="281"/>
      <c r="D8" s="281"/>
      <c r="E8" s="281"/>
      <c r="F8" s="281"/>
      <c r="G8" s="281"/>
      <c r="H8" s="146"/>
      <c r="I8" s="146"/>
      <c r="J8" s="146"/>
      <c r="K8" s="146"/>
      <c r="L8" s="146"/>
      <c r="M8" s="146"/>
      <c r="N8" s="146"/>
      <c r="O8" s="146"/>
      <c r="P8" s="146"/>
      <c r="Q8" s="146"/>
    </row>
    <row r="9" spans="1:51" ht="45">
      <c r="A9" s="146"/>
      <c r="B9" s="287" t="s">
        <v>480</v>
      </c>
      <c r="C9" s="288" t="s">
        <v>365</v>
      </c>
      <c r="D9" s="288" t="s">
        <v>483</v>
      </c>
      <c r="E9" s="289" t="s">
        <v>411</v>
      </c>
      <c r="F9" s="290" t="s">
        <v>379</v>
      </c>
      <c r="G9" s="146"/>
      <c r="H9" s="146"/>
      <c r="I9" s="146"/>
      <c r="J9" s="146"/>
      <c r="K9" s="146"/>
      <c r="L9" s="146"/>
      <c r="M9" s="146"/>
      <c r="N9" s="146"/>
      <c r="O9" s="146"/>
      <c r="P9" s="146"/>
    </row>
    <row r="10" spans="1:51" ht="14.25">
      <c r="A10" s="146"/>
      <c r="B10" s="293" t="s">
        <v>313</v>
      </c>
      <c r="C10" s="294"/>
      <c r="D10" s="813">
        <f>84113-'Sam-Podsumowanie'!C45</f>
        <v>66132.234197999991</v>
      </c>
      <c r="E10" s="295">
        <f>D10*'Wskazniki emisji paliw'!N$32</f>
        <v>42754.489409006994</v>
      </c>
      <c r="F10" s="296"/>
      <c r="G10" s="146"/>
      <c r="H10" s="146"/>
      <c r="I10" s="146"/>
      <c r="J10" s="146"/>
      <c r="K10" s="146"/>
      <c r="L10" s="146"/>
      <c r="M10" s="146"/>
      <c r="N10" s="146"/>
      <c r="O10" s="146"/>
      <c r="P10" s="146"/>
    </row>
    <row r="11" spans="1:51" ht="14.25">
      <c r="A11" s="146"/>
      <c r="B11" s="297"/>
      <c r="C11" s="298"/>
      <c r="D11" s="299">
        <v>0</v>
      </c>
      <c r="E11" s="295">
        <f>D11*'Wskazniki emisji paliw'!N$32</f>
        <v>0</v>
      </c>
      <c r="F11" s="296"/>
      <c r="G11" s="146"/>
      <c r="H11" s="146"/>
      <c r="I11" s="146"/>
      <c r="J11" s="146"/>
      <c r="K11" s="146"/>
      <c r="L11" s="146"/>
      <c r="M11" s="146"/>
      <c r="N11" s="146"/>
      <c r="O11" s="146"/>
      <c r="P11" s="146"/>
    </row>
    <row r="12" spans="1:51" ht="14.25">
      <c r="A12" s="146"/>
      <c r="B12" s="297"/>
      <c r="C12" s="298"/>
      <c r="D12" s="299">
        <v>0</v>
      </c>
      <c r="E12" s="295">
        <f>D12*'Wskazniki emisji paliw'!N$32</f>
        <v>0</v>
      </c>
      <c r="F12" s="296"/>
      <c r="G12" s="146"/>
      <c r="H12" s="146"/>
      <c r="I12" s="146"/>
      <c r="J12" s="146"/>
      <c r="K12" s="146"/>
      <c r="L12" s="146"/>
      <c r="M12" s="146"/>
      <c r="N12" s="146"/>
      <c r="O12" s="146"/>
      <c r="P12" s="146"/>
    </row>
    <row r="13" spans="1:51" ht="14.25">
      <c r="A13" s="146"/>
      <c r="B13" s="297"/>
      <c r="C13" s="298"/>
      <c r="D13" s="299">
        <v>0</v>
      </c>
      <c r="E13" s="295">
        <f>D13*'Wskazniki emisji paliw'!N$32</f>
        <v>0</v>
      </c>
      <c r="F13" s="296"/>
      <c r="G13" s="146"/>
      <c r="H13" s="146"/>
      <c r="I13" s="146"/>
      <c r="J13" s="146"/>
      <c r="K13" s="146"/>
      <c r="L13" s="146"/>
      <c r="M13" s="146"/>
      <c r="N13" s="146"/>
      <c r="O13" s="146"/>
      <c r="P13" s="146"/>
    </row>
    <row r="14" spans="1:51" ht="14.25">
      <c r="A14" s="146"/>
      <c r="B14" s="300" t="s">
        <v>441</v>
      </c>
      <c r="C14" s="301"/>
      <c r="D14" s="299">
        <v>0</v>
      </c>
      <c r="E14" s="295">
        <f>D14*'Wskazniki emisji paliw'!N$32</f>
        <v>0</v>
      </c>
      <c r="F14" s="296"/>
      <c r="G14" s="146"/>
      <c r="H14" s="146"/>
      <c r="I14" s="146"/>
      <c r="J14" s="146"/>
      <c r="K14" s="146"/>
      <c r="L14" s="146"/>
      <c r="M14" s="146"/>
      <c r="N14" s="146"/>
      <c r="O14" s="146"/>
      <c r="P14" s="146"/>
    </row>
    <row r="15" spans="1:51" ht="15">
      <c r="A15" s="146"/>
      <c r="B15" s="302" t="s">
        <v>440</v>
      </c>
      <c r="C15" s="303"/>
      <c r="D15" s="304">
        <f>SUM(D10:D14)</f>
        <v>66132.234197999991</v>
      </c>
      <c r="E15" s="305">
        <f>SUM(E10:E14)</f>
        <v>42754.489409006994</v>
      </c>
      <c r="F15" s="281"/>
      <c r="G15" s="146"/>
      <c r="H15" s="146"/>
      <c r="I15" s="146"/>
      <c r="J15" s="146"/>
      <c r="K15" s="146"/>
      <c r="L15" s="146"/>
      <c r="M15" s="146"/>
      <c r="N15" s="146"/>
      <c r="O15" s="146"/>
      <c r="P15" s="146"/>
    </row>
    <row r="16" spans="1:51" ht="14.25">
      <c r="A16" s="146"/>
      <c r="B16" s="306"/>
      <c r="C16" s="306"/>
      <c r="D16" s="285"/>
      <c r="E16" s="281"/>
      <c r="F16" s="281"/>
      <c r="G16" s="281"/>
      <c r="H16" s="146"/>
      <c r="I16" s="146"/>
      <c r="J16" s="146"/>
      <c r="K16" s="146"/>
      <c r="L16" s="146"/>
      <c r="M16" s="146"/>
      <c r="N16" s="146"/>
      <c r="O16" s="146"/>
      <c r="P16" s="146"/>
      <c r="Q16" s="146"/>
    </row>
    <row r="17" spans="1:17" ht="14.25">
      <c r="A17" s="146"/>
      <c r="B17" s="283"/>
      <c r="C17" s="283"/>
      <c r="D17" s="283"/>
      <c r="E17" s="281"/>
      <c r="F17" s="281"/>
      <c r="G17" s="281"/>
      <c r="H17" s="146"/>
      <c r="I17" s="146"/>
      <c r="J17" s="146"/>
      <c r="K17" s="146"/>
      <c r="L17" s="146"/>
      <c r="M17" s="146"/>
      <c r="N17" s="146"/>
      <c r="O17" s="146"/>
      <c r="P17" s="146"/>
      <c r="Q17" s="146"/>
    </row>
    <row r="18" spans="1:17" ht="26.85" customHeight="1">
      <c r="A18" s="146"/>
      <c r="B18" s="958" t="s">
        <v>574</v>
      </c>
      <c r="C18" s="958"/>
      <c r="D18" s="307" t="s">
        <v>486</v>
      </c>
      <c r="E18" s="308" t="s">
        <v>575</v>
      </c>
      <c r="F18" s="281"/>
      <c r="G18" s="286"/>
      <c r="H18" s="146"/>
      <c r="I18" s="146"/>
      <c r="J18" s="146"/>
      <c r="K18" s="146"/>
      <c r="L18" s="146"/>
      <c r="M18" s="146"/>
      <c r="N18" s="146"/>
      <c r="O18" s="146"/>
      <c r="P18" s="146"/>
      <c r="Q18" s="146"/>
    </row>
    <row r="19" spans="1:17" ht="14.25">
      <c r="A19" s="146"/>
      <c r="B19" s="959" t="s">
        <v>576</v>
      </c>
      <c r="C19" s="959"/>
      <c r="D19" s="309">
        <v>366074</v>
      </c>
      <c r="E19" s="310">
        <f>E15/D19</f>
        <v>0.11679193116420995</v>
      </c>
      <c r="F19" s="281"/>
      <c r="G19" s="281"/>
      <c r="H19" s="146"/>
      <c r="I19" s="146"/>
      <c r="J19" s="146"/>
      <c r="K19" s="146"/>
      <c r="L19" s="146"/>
      <c r="M19" s="146"/>
      <c r="N19" s="146"/>
      <c r="O19" s="146"/>
      <c r="P19" s="146"/>
      <c r="Q19" s="146"/>
    </row>
    <row r="20" spans="1:17" ht="14.25">
      <c r="A20" s="146"/>
      <c r="B20" s="960" t="s">
        <v>577</v>
      </c>
      <c r="C20" s="960"/>
      <c r="D20" s="311">
        <v>175.98</v>
      </c>
      <c r="E20" s="312">
        <f>E15/D20</f>
        <v>242.95084332882712</v>
      </c>
      <c r="F20" s="281"/>
      <c r="G20" s="281"/>
      <c r="H20" s="146"/>
      <c r="I20" s="146"/>
      <c r="J20" s="146"/>
      <c r="K20" s="146"/>
      <c r="L20" s="146"/>
      <c r="M20" s="146"/>
      <c r="N20" s="146"/>
      <c r="O20" s="146"/>
      <c r="P20" s="146"/>
      <c r="Q20" s="146"/>
    </row>
    <row r="21" spans="1:17" ht="14.25">
      <c r="A21" s="146"/>
      <c r="B21" s="313"/>
      <c r="C21" s="313"/>
      <c r="D21" s="281"/>
      <c r="E21" s="314"/>
      <c r="F21" s="281"/>
      <c r="G21" s="281"/>
      <c r="H21" s="146"/>
      <c r="I21" s="146"/>
      <c r="J21" s="146"/>
      <c r="K21" s="146"/>
      <c r="L21" s="146"/>
      <c r="M21" s="146"/>
      <c r="N21" s="146"/>
      <c r="O21" s="146"/>
      <c r="P21" s="146"/>
      <c r="Q21" s="146"/>
    </row>
    <row r="22" spans="1:17" ht="14.25">
      <c r="A22" s="146"/>
      <c r="B22" s="281"/>
      <c r="C22" s="281"/>
      <c r="D22" s="315"/>
      <c r="E22" s="281"/>
      <c r="F22" s="281"/>
      <c r="G22" s="281"/>
      <c r="H22" s="146"/>
      <c r="I22" s="146"/>
      <c r="J22" s="146"/>
      <c r="K22" s="146"/>
      <c r="L22" s="146"/>
      <c r="M22" s="146"/>
      <c r="N22" s="146"/>
      <c r="O22" s="146"/>
      <c r="P22" s="146"/>
      <c r="Q22" s="146"/>
    </row>
    <row r="23" spans="1:17" ht="14.25">
      <c r="A23" s="146"/>
      <c r="B23" s="316" t="s">
        <v>490</v>
      </c>
      <c r="C23" s="281"/>
      <c r="D23" s="281"/>
      <c r="E23" s="281"/>
      <c r="F23" s="281"/>
      <c r="G23" s="281"/>
      <c r="H23" s="146"/>
      <c r="I23" s="146"/>
      <c r="J23" s="146"/>
      <c r="K23" s="146"/>
      <c r="L23" s="146"/>
      <c r="M23" s="146"/>
      <c r="N23" s="146"/>
      <c r="O23" s="146"/>
      <c r="P23" s="146"/>
      <c r="Q23" s="146"/>
    </row>
    <row r="24" spans="1:17" ht="14.25">
      <c r="B24" s="317">
        <v>1</v>
      </c>
      <c r="C24" s="956"/>
      <c r="D24" s="956"/>
      <c r="E24" s="956"/>
      <c r="F24" s="956"/>
      <c r="G24" s="956"/>
    </row>
    <row r="25" spans="1:17" ht="14.25">
      <c r="B25" s="317">
        <v>2</v>
      </c>
      <c r="C25" s="956"/>
      <c r="D25" s="956"/>
      <c r="E25" s="956"/>
      <c r="F25" s="956"/>
      <c r="G25" s="956"/>
    </row>
    <row r="26" spans="1:17" ht="14.25">
      <c r="B26" s="317">
        <v>3</v>
      </c>
      <c r="C26" s="956"/>
      <c r="D26" s="956"/>
      <c r="E26" s="956"/>
      <c r="F26" s="956"/>
      <c r="G26" s="956"/>
    </row>
    <row r="27" spans="1:17" ht="14.25">
      <c r="B27" s="281"/>
      <c r="C27" s="281"/>
      <c r="D27" s="281"/>
      <c r="E27" s="281"/>
      <c r="F27" s="281"/>
      <c r="G27" s="281"/>
    </row>
    <row r="28" spans="1:17" ht="14.1" customHeight="1">
      <c r="B28" s="987"/>
      <c r="C28" s="987"/>
      <c r="D28" s="987"/>
      <c r="E28" s="987"/>
      <c r="F28" s="987"/>
      <c r="G28" s="987"/>
    </row>
    <row r="29" spans="1:17">
      <c r="B29" s="279"/>
      <c r="C29" s="279"/>
      <c r="D29" s="279"/>
      <c r="E29" s="279"/>
      <c r="F29" s="279"/>
      <c r="G29" s="279"/>
    </row>
    <row r="30" spans="1:17">
      <c r="B30" s="279"/>
      <c r="C30" s="279"/>
      <c r="D30" s="279"/>
      <c r="E30" s="279"/>
      <c r="F30" s="279"/>
      <c r="G30" s="279"/>
    </row>
  </sheetData>
  <mergeCells count="10">
    <mergeCell ref="C1:F1"/>
    <mergeCell ref="B3:H3"/>
    <mergeCell ref="C6:H6"/>
    <mergeCell ref="B18:C18"/>
    <mergeCell ref="C26:G26"/>
    <mergeCell ref="B28:G28"/>
    <mergeCell ref="B19:C19"/>
    <mergeCell ref="B20:C20"/>
    <mergeCell ref="C24:G24"/>
    <mergeCell ref="C25:G25"/>
  </mergeCells>
  <phoneticPr fontId="37" type="noConversion"/>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AX36"/>
  <sheetViews>
    <sheetView workbookViewId="0">
      <selection activeCell="C10" sqref="C10"/>
    </sheetView>
  </sheetViews>
  <sheetFormatPr defaultRowHeight="12.75"/>
  <cols>
    <col min="2" max="2" width="16.83203125" customWidth="1"/>
    <col min="3" max="3" width="14.6640625" customWidth="1"/>
    <col min="4" max="4" width="20.1640625" customWidth="1"/>
    <col min="5" max="5" width="15.1640625" customWidth="1"/>
    <col min="6" max="6" width="19" customWidth="1"/>
    <col min="7" max="7" width="20.33203125" customWidth="1"/>
    <col min="8" max="8" width="18.1640625" customWidth="1"/>
    <col min="9" max="9" width="27.1640625" customWidth="1"/>
    <col min="11" max="11" width="13" customWidth="1"/>
    <col min="12" max="12" width="11.33203125" customWidth="1"/>
    <col min="13" max="13" width="12.83203125" customWidth="1"/>
  </cols>
  <sheetData>
    <row r="1" spans="1:50" s="144" customFormat="1" ht="14.25">
      <c r="A1" s="138"/>
      <c r="C1" s="139" t="s">
        <v>443</v>
      </c>
      <c r="D1" s="967" t="str">
        <f>Ogolne!D5</f>
        <v>Bydgoszcz</v>
      </c>
      <c r="E1" s="967"/>
      <c r="F1" s="967"/>
      <c r="G1" s="967"/>
      <c r="H1" s="967"/>
      <c r="I1" s="140"/>
      <c r="J1" s="140"/>
      <c r="K1" s="140"/>
      <c r="L1" s="140"/>
      <c r="M1" s="140"/>
      <c r="N1" s="140"/>
      <c r="O1" s="140"/>
      <c r="P1" s="141"/>
      <c r="Q1" s="140"/>
      <c r="R1" s="140"/>
      <c r="S1" s="140"/>
      <c r="T1" s="140"/>
      <c r="U1" s="140"/>
      <c r="V1" s="140"/>
      <c r="W1" s="140"/>
      <c r="X1" s="140"/>
      <c r="Y1" s="140"/>
      <c r="Z1" s="140"/>
      <c r="AA1" s="138"/>
      <c r="AB1" s="138"/>
      <c r="AC1" s="138"/>
      <c r="AD1" s="138"/>
      <c r="AE1" s="138"/>
      <c r="AF1" s="138"/>
      <c r="AG1" s="138"/>
      <c r="AH1" s="138"/>
      <c r="AI1" s="142"/>
      <c r="AJ1" s="142"/>
      <c r="AK1" s="142"/>
      <c r="AL1" s="142"/>
      <c r="AM1" s="142"/>
      <c r="AN1" s="142"/>
      <c r="AO1" s="138"/>
      <c r="AP1" s="143"/>
      <c r="AQ1" s="138"/>
      <c r="AR1" s="138"/>
      <c r="AS1" s="138"/>
      <c r="AT1" s="138"/>
      <c r="AU1" s="138"/>
      <c r="AV1" s="138"/>
      <c r="AW1" s="138"/>
      <c r="AX1" s="138"/>
    </row>
    <row r="2" spans="1:50">
      <c r="A2" s="146"/>
      <c r="B2" s="146"/>
      <c r="C2" s="146"/>
      <c r="D2" s="146"/>
      <c r="E2" s="146"/>
      <c r="F2" s="146"/>
      <c r="G2" s="146"/>
      <c r="H2" s="146"/>
      <c r="I2" s="146"/>
      <c r="J2" s="146"/>
      <c r="P2" s="146"/>
      <c r="Q2" s="146"/>
    </row>
    <row r="3" spans="1:50" ht="26.25">
      <c r="A3" s="146"/>
      <c r="B3" s="934" t="s">
        <v>579</v>
      </c>
      <c r="C3" s="934"/>
      <c r="D3" s="934"/>
      <c r="E3" s="934"/>
      <c r="F3" s="934"/>
      <c r="G3" s="934"/>
      <c r="H3" s="934"/>
      <c r="I3" s="146"/>
      <c r="J3" s="146"/>
      <c r="P3" s="146"/>
      <c r="Q3" s="146"/>
    </row>
    <row r="4" spans="1:50" ht="15.75">
      <c r="A4" s="146"/>
      <c r="B4" s="533"/>
      <c r="D4" s="149" t="s">
        <v>538</v>
      </c>
      <c r="E4" s="376">
        <f>corpyear</f>
        <v>2005</v>
      </c>
      <c r="F4" s="146"/>
      <c r="G4" s="146"/>
      <c r="H4" s="146"/>
      <c r="I4" s="146"/>
      <c r="J4" s="146"/>
      <c r="P4" s="146"/>
      <c r="Q4" s="146"/>
    </row>
    <row r="5" spans="1:50">
      <c r="A5" s="146"/>
      <c r="B5" s="146"/>
      <c r="C5" s="146"/>
      <c r="D5" s="146"/>
      <c r="E5" s="146"/>
      <c r="F5" s="146"/>
      <c r="G5" s="146"/>
      <c r="H5" s="146"/>
      <c r="I5" s="146"/>
      <c r="J5" s="146"/>
      <c r="P5" s="146"/>
      <c r="Q5" s="146"/>
    </row>
    <row r="6" spans="1:50">
      <c r="A6" s="146"/>
      <c r="B6" s="534" t="s">
        <v>442</v>
      </c>
      <c r="C6" s="535" t="s">
        <v>580</v>
      </c>
      <c r="D6" s="535"/>
      <c r="E6" s="535"/>
      <c r="F6" s="535"/>
      <c r="G6" s="535"/>
      <c r="H6" s="535"/>
      <c r="I6" s="146"/>
      <c r="J6" s="146"/>
      <c r="P6" s="146"/>
      <c r="Q6" s="146"/>
    </row>
    <row r="7" spans="1:50">
      <c r="A7" s="146"/>
      <c r="B7" s="146"/>
      <c r="C7" s="146"/>
      <c r="D7" s="146"/>
      <c r="E7" s="146"/>
      <c r="F7" s="146"/>
      <c r="G7" s="146"/>
      <c r="H7" s="146"/>
      <c r="I7" s="146"/>
      <c r="J7" s="146"/>
      <c r="P7" s="146"/>
      <c r="Q7" s="146"/>
    </row>
    <row r="8" spans="1:50">
      <c r="A8" s="146"/>
      <c r="B8" s="325" t="s">
        <v>581</v>
      </c>
      <c r="C8" s="146"/>
      <c r="D8" s="146"/>
      <c r="E8" s="146"/>
      <c r="F8" s="146"/>
      <c r="G8" s="146"/>
      <c r="H8" s="146"/>
      <c r="I8" s="146"/>
      <c r="J8" s="146"/>
      <c r="P8" s="146"/>
      <c r="Q8" s="146"/>
    </row>
    <row r="9" spans="1:50" s="539" customFormat="1" ht="63.75" customHeight="1">
      <c r="A9" s="536"/>
      <c r="B9" s="537" t="s">
        <v>582</v>
      </c>
      <c r="C9" s="537" t="s">
        <v>684</v>
      </c>
      <c r="D9" s="537" t="s">
        <v>583</v>
      </c>
      <c r="E9" s="146"/>
      <c r="F9" s="537" t="s">
        <v>595</v>
      </c>
      <c r="G9" s="538" t="s">
        <v>596</v>
      </c>
      <c r="H9" s="146"/>
      <c r="I9" s="536"/>
      <c r="J9" s="146"/>
      <c r="O9" s="536"/>
      <c r="P9" s="536"/>
    </row>
    <row r="10" spans="1:50" s="539" customFormat="1">
      <c r="A10" s="536"/>
      <c r="B10" s="537"/>
      <c r="C10" s="537"/>
      <c r="D10" s="540" t="s">
        <v>101</v>
      </c>
      <c r="E10" s="146"/>
      <c r="F10" s="538" t="s">
        <v>102</v>
      </c>
      <c r="G10" s="540" t="s">
        <v>597</v>
      </c>
      <c r="H10" s="146"/>
      <c r="I10" s="536"/>
      <c r="J10" s="146"/>
      <c r="O10" s="536"/>
      <c r="P10" s="536"/>
    </row>
    <row r="11" spans="1:50">
      <c r="A11" s="146"/>
      <c r="B11" s="541" t="s">
        <v>584</v>
      </c>
      <c r="C11" s="812">
        <v>9</v>
      </c>
      <c r="D11" s="543">
        <f>C11*LOOKUP(comyear,'Wskazniki emisji rolnictwo'!B$42:C$63)</f>
        <v>1016.1</v>
      </c>
      <c r="E11" s="146"/>
      <c r="F11" s="544">
        <f>LOOKUP(comyear,'Wskazniki emisji rolnictwo'!H13:I34)</f>
        <v>0.29118444724899978</v>
      </c>
      <c r="G11" s="545">
        <f>D22/F11</f>
        <v>68730.456551088166</v>
      </c>
      <c r="H11" s="146"/>
      <c r="I11" s="146"/>
      <c r="J11" s="146"/>
      <c r="O11" s="146"/>
      <c r="P11" s="146"/>
    </row>
    <row r="12" spans="1:50">
      <c r="A12" s="146"/>
      <c r="B12" s="541" t="s">
        <v>585</v>
      </c>
      <c r="C12" s="812">
        <v>282</v>
      </c>
      <c r="D12" s="543">
        <f>C12*LOOKUP(comyear,'Wskazniki emisji rolnictwo'!B42:D63)</f>
        <v>13084.8</v>
      </c>
      <c r="E12" s="146"/>
      <c r="F12" s="146"/>
      <c r="G12" s="146"/>
      <c r="H12" s="146"/>
      <c r="I12" s="146"/>
      <c r="J12" s="146"/>
      <c r="O12" s="146"/>
      <c r="P12" s="146"/>
    </row>
    <row r="13" spans="1:50">
      <c r="A13" s="146"/>
      <c r="B13" s="541" t="s">
        <v>586</v>
      </c>
      <c r="C13" s="812"/>
      <c r="D13" s="543">
        <f>C13*LOOKUP(comyear,'Wskazniki emisji rolnictwo'!B42:E64)</f>
        <v>0</v>
      </c>
      <c r="E13" s="146"/>
      <c r="F13" s="146"/>
      <c r="G13" s="146"/>
      <c r="H13" s="146"/>
      <c r="I13" s="146"/>
      <c r="J13" s="146"/>
      <c r="O13" s="146"/>
      <c r="P13" s="146"/>
    </row>
    <row r="14" spans="1:50">
      <c r="A14" s="146"/>
      <c r="B14" s="541" t="s">
        <v>587</v>
      </c>
      <c r="C14" s="812"/>
      <c r="D14" s="543">
        <f>C14*LOOKUP(comyear,'Wskazniki emisji rolnictwo'!B42:F65)</f>
        <v>0</v>
      </c>
      <c r="E14" s="408" t="s">
        <v>520</v>
      </c>
      <c r="F14" s="146" t="s">
        <v>606</v>
      </c>
      <c r="H14" s="146"/>
      <c r="I14" s="146"/>
      <c r="J14" s="146"/>
      <c r="O14" s="146"/>
      <c r="P14" s="146"/>
    </row>
    <row r="15" spans="1:50" ht="12.95" customHeight="1">
      <c r="A15" s="146"/>
      <c r="B15" s="541" t="s">
        <v>588</v>
      </c>
      <c r="C15" s="812">
        <v>6</v>
      </c>
      <c r="D15" s="543">
        <f>C15*LOOKUP(comyear,'Wskazniki emisji rolnictwo'!B$42:G$63)</f>
        <v>30</v>
      </c>
      <c r="E15" s="146"/>
      <c r="F15" s="988"/>
      <c r="G15" s="988"/>
      <c r="H15" s="988"/>
      <c r="I15" s="988"/>
      <c r="J15" s="146"/>
      <c r="O15" s="146"/>
      <c r="P15" s="146"/>
    </row>
    <row r="16" spans="1:50">
      <c r="A16" s="146"/>
      <c r="B16" s="546" t="s">
        <v>589</v>
      </c>
      <c r="C16" s="812">
        <v>225</v>
      </c>
      <c r="D16" s="543">
        <f>C16*LOOKUP(comyear,'Wskazniki emisji rolnictwo'!B$42:H$63)</f>
        <v>4050</v>
      </c>
      <c r="E16" s="146"/>
      <c r="F16" s="988"/>
      <c r="G16" s="988"/>
      <c r="H16" s="988"/>
      <c r="I16" s="988"/>
      <c r="J16" s="146"/>
      <c r="O16" s="146"/>
      <c r="P16" s="146"/>
    </row>
    <row r="17" spans="1:17">
      <c r="A17" s="146"/>
      <c r="B17" s="546" t="s">
        <v>590</v>
      </c>
      <c r="C17" s="812"/>
      <c r="D17" s="543">
        <f>C17*LOOKUP(comyear,'Wskazniki emisji rolnictwo'!B$42:I$63)</f>
        <v>0</v>
      </c>
      <c r="E17" s="146"/>
      <c r="F17" s="988"/>
      <c r="G17" s="988"/>
      <c r="H17" s="988"/>
      <c r="I17" s="988"/>
      <c r="J17" s="146"/>
      <c r="O17" s="146"/>
      <c r="P17" s="146"/>
    </row>
    <row r="18" spans="1:17">
      <c r="A18" s="146"/>
      <c r="B18" s="541" t="s">
        <v>591</v>
      </c>
      <c r="C18" s="812"/>
      <c r="D18" s="543">
        <f>C18*LOOKUP(comyear,'Wskazniki emisji rolnictwo'!B$42:J$63)</f>
        <v>0</v>
      </c>
      <c r="E18" s="146"/>
      <c r="F18" s="988"/>
      <c r="G18" s="988"/>
      <c r="H18" s="988"/>
      <c r="I18" s="988"/>
      <c r="J18" s="146"/>
      <c r="O18" s="146"/>
      <c r="P18" s="146"/>
    </row>
    <row r="19" spans="1:17">
      <c r="A19" s="146"/>
      <c r="B19" s="541" t="s">
        <v>592</v>
      </c>
      <c r="C19" s="812">
        <v>1099</v>
      </c>
      <c r="D19" s="543">
        <f>C19*LOOKUP(comyear,'Wskazniki emisji rolnictwo'!B$42:K$63)</f>
        <v>1648.5</v>
      </c>
      <c r="E19" s="146"/>
      <c r="F19" s="146"/>
      <c r="G19" s="146"/>
      <c r="H19" s="146"/>
      <c r="I19" s="146"/>
      <c r="J19" s="146"/>
      <c r="O19" s="146"/>
      <c r="P19" s="146"/>
    </row>
    <row r="20" spans="1:17">
      <c r="A20" s="146"/>
      <c r="B20" s="541" t="s">
        <v>593</v>
      </c>
      <c r="C20" s="812"/>
      <c r="D20" s="543">
        <f>C20*LOOKUP(comyear,'Wskazniki emisji rolnictwo'!B$42:L$63)</f>
        <v>0</v>
      </c>
      <c r="E20" s="146"/>
      <c r="F20" s="146"/>
      <c r="G20" s="146"/>
      <c r="H20" s="146"/>
      <c r="I20" s="146"/>
      <c r="J20" s="146"/>
      <c r="O20" s="146"/>
      <c r="P20" s="146"/>
    </row>
    <row r="21" spans="1:17">
      <c r="A21" s="146"/>
      <c r="B21" s="541" t="s">
        <v>594</v>
      </c>
      <c r="C21" s="812">
        <v>2298</v>
      </c>
      <c r="D21" s="543">
        <f>C21*LOOKUP(comyear,'Wskazniki emisji rolnictwo'!B$42:M$63)</f>
        <v>183.84</v>
      </c>
      <c r="E21" s="146"/>
      <c r="F21" s="146"/>
      <c r="G21" s="146"/>
      <c r="H21" s="547"/>
      <c r="I21" s="146"/>
      <c r="J21" s="146"/>
      <c r="O21" s="146"/>
      <c r="P21" s="146"/>
    </row>
    <row r="22" spans="1:17">
      <c r="A22" s="146"/>
      <c r="B22" s="548" t="s">
        <v>440</v>
      </c>
      <c r="C22" s="549">
        <f>SUM(C11:C21)</f>
        <v>3919</v>
      </c>
      <c r="D22" s="550">
        <f>SUM(D11:D21)</f>
        <v>20013.240000000002</v>
      </c>
      <c r="E22" s="760"/>
      <c r="F22" s="146"/>
      <c r="G22" s="146"/>
      <c r="H22" s="146"/>
      <c r="I22" s="146"/>
      <c r="J22" s="146"/>
      <c r="P22" s="146"/>
      <c r="Q22" s="146"/>
    </row>
    <row r="23" spans="1:17">
      <c r="A23" s="146"/>
      <c r="B23" s="146"/>
      <c r="C23" s="146"/>
      <c r="D23" s="146"/>
      <c r="E23" s="146"/>
      <c r="F23" s="146"/>
      <c r="G23" s="146"/>
      <c r="H23" s="146"/>
      <c r="I23" s="146"/>
      <c r="J23" s="146"/>
      <c r="K23" s="135"/>
      <c r="L23" s="135"/>
      <c r="P23" s="146"/>
      <c r="Q23" s="146"/>
    </row>
    <row r="24" spans="1:17">
      <c r="A24" s="146"/>
      <c r="B24" s="146"/>
      <c r="C24" s="146"/>
      <c r="D24" s="146"/>
      <c r="E24" s="146"/>
      <c r="F24" s="146"/>
      <c r="G24" s="146"/>
      <c r="H24" s="146"/>
      <c r="I24" s="146"/>
    </row>
    <row r="25" spans="1:17">
      <c r="A25" s="146"/>
      <c r="B25" s="533" t="s">
        <v>605</v>
      </c>
      <c r="C25" s="146"/>
      <c r="D25" s="146"/>
      <c r="E25" s="146"/>
      <c r="F25" s="146"/>
      <c r="G25" s="146"/>
      <c r="H25" s="146"/>
      <c r="I25" s="146"/>
      <c r="J25" s="146"/>
    </row>
    <row r="26" spans="1:17" s="539" customFormat="1" ht="57.4" customHeight="1">
      <c r="A26" s="146"/>
      <c r="B26" s="989" t="s">
        <v>598</v>
      </c>
      <c r="C26" s="989"/>
      <c r="D26" s="538" t="s">
        <v>599</v>
      </c>
      <c r="E26" s="538" t="s">
        <v>600</v>
      </c>
      <c r="F26" s="538" t="s">
        <v>601</v>
      </c>
      <c r="G26" s="538" t="s">
        <v>602</v>
      </c>
      <c r="H26" s="538" t="s">
        <v>603</v>
      </c>
      <c r="I26" s="538" t="s">
        <v>604</v>
      </c>
      <c r="J26" s="146"/>
    </row>
    <row r="27" spans="1:17" ht="12.75" customHeight="1">
      <c r="A27" s="146"/>
      <c r="B27" s="990"/>
      <c r="C27" s="990"/>
      <c r="D27" s="542"/>
      <c r="E27" s="542"/>
      <c r="F27" s="542"/>
      <c r="G27" s="542"/>
      <c r="H27" s="542"/>
      <c r="I27" s="542"/>
      <c r="J27" s="146"/>
    </row>
    <row r="28" spans="1:17">
      <c r="A28" s="146"/>
      <c r="B28" s="990"/>
      <c r="C28" s="990"/>
      <c r="D28" s="542"/>
      <c r="E28" s="542"/>
      <c r="F28" s="542"/>
      <c r="G28" s="542"/>
      <c r="H28" s="542"/>
      <c r="I28" s="542"/>
      <c r="J28" s="146"/>
    </row>
    <row r="29" spans="1:17" ht="12.75" customHeight="1">
      <c r="A29" s="146"/>
      <c r="B29" s="990"/>
      <c r="C29" s="990"/>
      <c r="D29" s="542"/>
      <c r="E29" s="542"/>
      <c r="F29" s="542"/>
      <c r="G29" s="542"/>
      <c r="H29" s="542"/>
      <c r="I29" s="542"/>
      <c r="J29" s="146"/>
    </row>
    <row r="30" spans="1:17">
      <c r="A30" s="146"/>
      <c r="B30" s="990"/>
      <c r="C30" s="990"/>
      <c r="D30" s="542"/>
      <c r="E30" s="542"/>
      <c r="F30" s="542"/>
      <c r="G30" s="542"/>
      <c r="H30" s="542"/>
      <c r="I30" s="542"/>
      <c r="J30" s="146"/>
    </row>
    <row r="31" spans="1:17">
      <c r="A31" s="146"/>
      <c r="B31" s="990"/>
      <c r="C31" s="990"/>
      <c r="D31" s="542"/>
      <c r="E31" s="542"/>
      <c r="F31" s="542"/>
      <c r="G31" s="542"/>
      <c r="H31" s="542"/>
      <c r="I31" s="542"/>
      <c r="J31" s="146"/>
    </row>
    <row r="32" spans="1:17">
      <c r="A32" s="146"/>
      <c r="B32" s="991" t="s">
        <v>440</v>
      </c>
      <c r="C32" s="991"/>
      <c r="D32" s="446">
        <f>SUM(D27:D31)</f>
        <v>0</v>
      </c>
      <c r="E32" s="446">
        <f>SUM(E27:E31)</f>
        <v>0</v>
      </c>
      <c r="F32" s="446"/>
      <c r="G32" s="446">
        <f>SUM(G27:G31)</f>
        <v>0</v>
      </c>
      <c r="H32" s="446">
        <f>SUM(H27:H31)</f>
        <v>0</v>
      </c>
      <c r="I32" s="446"/>
      <c r="J32" s="146"/>
    </row>
    <row r="33" spans="1:10">
      <c r="A33" s="146"/>
      <c r="B33" s="146"/>
      <c r="C33" s="146"/>
      <c r="D33" s="146"/>
      <c r="E33" s="146"/>
      <c r="F33" s="146"/>
      <c r="G33" s="146"/>
      <c r="H33" s="146"/>
      <c r="I33" s="146"/>
      <c r="J33" s="146"/>
    </row>
    <row r="34" spans="1:10">
      <c r="A34" s="146"/>
      <c r="B34" s="146"/>
      <c r="C34" s="146"/>
      <c r="D34" s="146"/>
      <c r="E34" s="146"/>
      <c r="F34" s="146"/>
      <c r="G34" s="146"/>
      <c r="H34" s="146"/>
      <c r="I34" s="146"/>
      <c r="J34" s="146"/>
    </row>
    <row r="35" spans="1:10">
      <c r="A35" s="146"/>
      <c r="B35" s="146"/>
      <c r="C35" s="146"/>
      <c r="D35" s="146"/>
      <c r="E35" s="146"/>
      <c r="F35" s="146"/>
      <c r="G35" s="146"/>
      <c r="H35" s="146"/>
      <c r="I35" s="146"/>
      <c r="J35" s="146"/>
    </row>
    <row r="36" spans="1:10">
      <c r="J36" s="146"/>
    </row>
  </sheetData>
  <mergeCells count="10">
    <mergeCell ref="D1:H1"/>
    <mergeCell ref="B3:H3"/>
    <mergeCell ref="F15:I18"/>
    <mergeCell ref="B26:C26"/>
    <mergeCell ref="B31:C31"/>
    <mergeCell ref="B32:C32"/>
    <mergeCell ref="B27:C27"/>
    <mergeCell ref="B28:C28"/>
    <mergeCell ref="B29:C29"/>
    <mergeCell ref="B30:C30"/>
  </mergeCells>
  <phoneticPr fontId="37" type="noConversion"/>
  <pageMargins left="0.75" right="0.75" top="1" bottom="1" header="0.51180555555555551" footer="0.51180555555555551"/>
  <pageSetup firstPageNumber="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sheetPr>
    <tabColor rgb="FF92D050"/>
  </sheetPr>
  <dimension ref="A1:BE91"/>
  <sheetViews>
    <sheetView workbookViewId="0">
      <selection activeCell="T10" sqref="T10"/>
    </sheetView>
  </sheetViews>
  <sheetFormatPr defaultRowHeight="12.75"/>
  <cols>
    <col min="1" max="1" width="4.1640625" customWidth="1"/>
    <col min="2" max="2" width="44.6640625" customWidth="1"/>
    <col min="4" max="4" width="9" style="136" customWidth="1"/>
    <col min="5" max="5" width="10.33203125" style="136" customWidth="1"/>
    <col min="6" max="6" width="15.83203125" style="136" customWidth="1"/>
    <col min="7" max="7" width="16.1640625" style="136" customWidth="1"/>
    <col min="8" max="8" width="17.1640625" style="136" customWidth="1"/>
    <col min="9" max="9" width="16" style="136" customWidth="1"/>
    <col min="10" max="10" width="15" style="136" customWidth="1"/>
    <col min="11" max="11" width="15.33203125" style="136" customWidth="1"/>
    <col min="12" max="12" width="17.33203125" style="136" customWidth="1"/>
    <col min="13" max="13" width="6.33203125" style="136" customWidth="1"/>
    <col min="14" max="14" width="15" style="136" customWidth="1"/>
    <col min="15" max="16" width="15.83203125" style="136" customWidth="1"/>
    <col min="17" max="17" width="14.33203125" style="136" customWidth="1"/>
    <col min="18" max="18" width="17.83203125" style="136" customWidth="1"/>
    <col min="19" max="19" width="4.83203125" style="136" customWidth="1"/>
    <col min="20" max="20" width="13.6640625" style="136" customWidth="1"/>
    <col min="21" max="21" width="15.33203125" style="136" customWidth="1"/>
    <col min="22" max="22" width="14.5" style="136" customWidth="1"/>
    <col min="23" max="23" width="17.1640625" style="136" customWidth="1"/>
    <col min="24" max="24" width="12.6640625" style="136" customWidth="1"/>
    <col min="25" max="25" width="16.1640625" style="136" customWidth="1"/>
    <col min="26" max="26" width="15.5" style="136" customWidth="1"/>
    <col min="27" max="27" width="17.1640625" style="136" customWidth="1"/>
    <col min="28" max="28" width="13.6640625" customWidth="1"/>
    <col min="29" max="29" width="15.6640625" style="137" customWidth="1"/>
    <col min="30" max="30" width="16.1640625" customWidth="1"/>
    <col min="31" max="31" width="19.83203125" customWidth="1"/>
    <col min="32" max="32" width="15.33203125" customWidth="1"/>
    <col min="33" max="33" width="13.1640625" customWidth="1"/>
    <col min="34" max="34" width="14.5" customWidth="1"/>
    <col min="35" max="35" width="15.1640625" customWidth="1"/>
    <col min="36" max="36" width="14.83203125" customWidth="1"/>
    <col min="37" max="37" width="17.33203125" customWidth="1"/>
    <col min="38" max="38" width="14" customWidth="1"/>
    <col min="39" max="39" width="15.83203125" customWidth="1"/>
    <col min="40" max="40" width="13" customWidth="1"/>
    <col min="41" max="41" width="17.33203125" customWidth="1"/>
    <col min="42" max="42" width="14.5" customWidth="1"/>
    <col min="43" max="43" width="15.83203125" customWidth="1"/>
    <col min="44" max="44" width="13.83203125" customWidth="1"/>
    <col min="45" max="45" width="12" customWidth="1"/>
    <col min="46" max="46" width="14.33203125" customWidth="1"/>
    <col min="47" max="47" width="15.1640625" customWidth="1"/>
    <col min="48" max="48" width="13.83203125" customWidth="1"/>
    <col min="49" max="49" width="18.33203125" customWidth="1"/>
    <col min="50" max="50" width="13.33203125" customWidth="1"/>
    <col min="51" max="51" width="17.1640625" customWidth="1"/>
    <col min="52" max="52" width="38" customWidth="1"/>
  </cols>
  <sheetData>
    <row r="1" spans="1:43" s="144" customFormat="1" ht="15">
      <c r="A1" s="138"/>
      <c r="B1" s="139" t="s">
        <v>443</v>
      </c>
      <c r="C1" s="1004" t="str">
        <f>Ogolne!D5</f>
        <v>Bydgoszcz</v>
      </c>
      <c r="D1" s="1004"/>
      <c r="E1" s="1004"/>
      <c r="F1" s="1004"/>
      <c r="G1" s="1004"/>
      <c r="H1" s="140"/>
      <c r="I1" s="140"/>
      <c r="J1" s="140"/>
      <c r="K1" s="140"/>
      <c r="L1" s="140"/>
      <c r="M1" s="140"/>
      <c r="N1" s="140"/>
      <c r="O1" s="140"/>
      <c r="P1" s="140"/>
      <c r="Q1" s="140"/>
      <c r="R1" s="140"/>
      <c r="S1" s="141"/>
      <c r="T1" s="140"/>
      <c r="U1" s="140"/>
      <c r="V1" s="140"/>
      <c r="W1" s="140"/>
      <c r="X1" s="140"/>
      <c r="Y1" s="140"/>
      <c r="Z1" s="140"/>
      <c r="AA1" s="140"/>
      <c r="AB1" s="138"/>
      <c r="AC1" s="143"/>
      <c r="AD1" s="138"/>
      <c r="AE1" s="138"/>
      <c r="AF1" s="138"/>
      <c r="AG1" s="138"/>
      <c r="AH1" s="138"/>
      <c r="AI1" s="138"/>
      <c r="AJ1" s="138"/>
      <c r="AK1" s="138"/>
      <c r="AL1" s="146"/>
      <c r="AM1" s="146"/>
      <c r="AN1" s="146"/>
      <c r="AO1" s="146"/>
      <c r="AP1" s="146"/>
      <c r="AQ1" s="146"/>
    </row>
    <row r="2" spans="1:43" ht="9" customHeight="1">
      <c r="A2" s="146"/>
      <c r="B2" s="146"/>
      <c r="C2" s="146"/>
      <c r="D2" s="145"/>
      <c r="E2" s="145"/>
      <c r="F2" s="145"/>
      <c r="G2" s="145"/>
      <c r="H2" s="145"/>
      <c r="I2" s="145"/>
      <c r="J2" s="145"/>
      <c r="K2" s="145"/>
      <c r="L2" s="145"/>
      <c r="M2" s="145"/>
      <c r="N2" s="145"/>
      <c r="O2" s="145"/>
      <c r="P2" s="145"/>
      <c r="Q2" s="145"/>
      <c r="R2" s="145"/>
      <c r="S2" s="145"/>
      <c r="T2" s="145"/>
      <c r="U2" s="145"/>
      <c r="V2" s="145"/>
      <c r="W2" s="145"/>
      <c r="X2" s="145"/>
      <c r="Y2" s="145"/>
      <c r="Z2" s="145"/>
      <c r="AA2" s="145"/>
      <c r="AB2" s="146"/>
      <c r="AC2" s="147"/>
      <c r="AD2" s="146"/>
      <c r="AE2" s="146"/>
      <c r="AF2" s="146"/>
      <c r="AG2" s="146"/>
      <c r="AH2" s="146"/>
      <c r="AI2" s="146"/>
      <c r="AJ2" s="146"/>
      <c r="AK2" s="146"/>
      <c r="AL2" s="146"/>
      <c r="AM2" s="146"/>
      <c r="AN2" s="146"/>
      <c r="AO2" s="146"/>
      <c r="AP2" s="146"/>
      <c r="AQ2" s="146"/>
    </row>
    <row r="3" spans="1:43" ht="26.25">
      <c r="A3" s="146"/>
      <c r="B3" s="934" t="s">
        <v>607</v>
      </c>
      <c r="C3" s="934"/>
      <c r="D3" s="934"/>
      <c r="E3" s="934"/>
      <c r="F3" s="934"/>
      <c r="G3" s="934"/>
      <c r="H3" s="934"/>
      <c r="I3" s="934"/>
      <c r="J3" s="934"/>
      <c r="K3" s="934"/>
      <c r="L3" s="934"/>
      <c r="M3" s="934"/>
      <c r="N3" s="934"/>
      <c r="O3" s="145"/>
      <c r="P3" s="145"/>
      <c r="Q3" s="145"/>
      <c r="R3" s="145"/>
      <c r="T3" s="145"/>
      <c r="V3" s="145"/>
      <c r="X3" s="145"/>
      <c r="Y3" s="145"/>
      <c r="Z3" s="145"/>
      <c r="AA3" s="145"/>
      <c r="AB3" s="146"/>
      <c r="AC3" s="147"/>
      <c r="AD3" s="146"/>
      <c r="AE3" s="146"/>
      <c r="AF3" s="146"/>
      <c r="AG3" s="146"/>
      <c r="AH3" s="146"/>
      <c r="AI3" s="146"/>
      <c r="AJ3" s="146"/>
      <c r="AK3" s="146"/>
      <c r="AL3" s="146"/>
      <c r="AM3" s="145"/>
      <c r="AN3" s="145"/>
      <c r="AO3" s="146"/>
      <c r="AP3" s="145"/>
      <c r="AQ3" s="145"/>
    </row>
    <row r="4" spans="1:43" ht="18" customHeight="1">
      <c r="A4" s="145"/>
      <c r="B4" s="149" t="s">
        <v>395</v>
      </c>
      <c r="C4" s="150">
        <f>comyear</f>
        <v>2005</v>
      </c>
      <c r="D4" s="145"/>
      <c r="E4" s="145"/>
      <c r="F4" s="145"/>
      <c r="G4" s="145"/>
      <c r="H4" s="145"/>
      <c r="I4" s="145"/>
      <c r="J4" s="145"/>
      <c r="K4" s="145"/>
      <c r="L4" s="145"/>
      <c r="M4" s="145"/>
      <c r="N4" s="145"/>
      <c r="O4" s="145"/>
      <c r="P4" s="145"/>
      <c r="Q4" s="145"/>
      <c r="R4" s="145"/>
      <c r="S4" s="145"/>
      <c r="T4" s="145"/>
      <c r="U4" s="145"/>
      <c r="V4" s="145"/>
      <c r="W4" s="145"/>
      <c r="X4" s="145"/>
      <c r="Y4" s="145"/>
      <c r="Z4" s="145"/>
      <c r="AA4" s="145"/>
      <c r="AB4" s="146"/>
      <c r="AC4" s="147"/>
      <c r="AD4" s="146"/>
      <c r="AE4" s="146"/>
      <c r="AF4" s="146"/>
      <c r="AG4" s="146"/>
      <c r="AH4" s="146"/>
      <c r="AI4" s="146"/>
      <c r="AJ4" s="146"/>
      <c r="AK4" s="146"/>
      <c r="AL4" s="146"/>
      <c r="AM4" s="145"/>
      <c r="AN4" s="145"/>
      <c r="AO4" s="146"/>
      <c r="AP4" s="145"/>
      <c r="AQ4" s="145"/>
    </row>
    <row r="5" spans="1:43" ht="14.25">
      <c r="A5" s="140"/>
      <c r="B5" s="140"/>
      <c r="C5" s="1005" t="s">
        <v>608</v>
      </c>
      <c r="D5" s="1005"/>
      <c r="E5" s="1005"/>
      <c r="F5" s="1005"/>
      <c r="G5" s="1005"/>
      <c r="H5" s="1005"/>
      <c r="I5" s="1005"/>
      <c r="J5" s="1005"/>
      <c r="K5" s="1005"/>
      <c r="L5" s="1005"/>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5"/>
      <c r="AM5" s="145"/>
      <c r="AN5" s="145"/>
      <c r="AO5" s="145"/>
      <c r="AP5" s="145"/>
      <c r="AQ5" s="145"/>
    </row>
    <row r="6" spans="1:43" ht="14.1" customHeight="1">
      <c r="A6" s="140"/>
      <c r="B6" s="140"/>
      <c r="C6" s="1003" t="s">
        <v>609</v>
      </c>
      <c r="D6" s="1003"/>
      <c r="E6" s="1003"/>
      <c r="F6" s="1003"/>
      <c r="G6" s="1003"/>
      <c r="H6" s="1003"/>
      <c r="I6" s="1003"/>
      <c r="J6" s="1003"/>
      <c r="K6" s="1003"/>
      <c r="L6" s="1003"/>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5"/>
      <c r="AM6" s="145"/>
      <c r="AN6" s="145"/>
      <c r="AO6" s="145"/>
      <c r="AP6" s="145"/>
      <c r="AQ6" s="145"/>
    </row>
    <row r="7" spans="1:43" ht="14.25" customHeight="1">
      <c r="A7" s="140"/>
      <c r="B7" s="140"/>
      <c r="C7" s="1003" t="s">
        <v>610</v>
      </c>
      <c r="D7" s="1003"/>
      <c r="E7" s="1003"/>
      <c r="F7" s="1003"/>
      <c r="G7" s="1003"/>
      <c r="H7" s="1003"/>
      <c r="I7" s="1003"/>
      <c r="J7" s="1003"/>
      <c r="K7" s="1003"/>
      <c r="L7" s="1003"/>
      <c r="M7" s="140"/>
      <c r="N7" s="140"/>
      <c r="P7" s="140"/>
      <c r="Q7" s="140"/>
      <c r="R7" s="140"/>
      <c r="S7" s="140"/>
      <c r="T7" s="140"/>
      <c r="U7" s="140"/>
      <c r="V7" s="140"/>
      <c r="W7" s="140"/>
      <c r="X7" s="140"/>
      <c r="Y7" s="140"/>
      <c r="Z7" s="140"/>
      <c r="AA7" s="140"/>
      <c r="AB7" s="140"/>
      <c r="AC7" s="140"/>
      <c r="AD7" s="140"/>
      <c r="AE7" s="140"/>
      <c r="AF7" s="140"/>
      <c r="AG7" s="140"/>
      <c r="AH7" s="140"/>
      <c r="AI7" s="140"/>
      <c r="AJ7" s="140"/>
      <c r="AK7" s="140"/>
      <c r="AL7" s="145"/>
      <c r="AM7" s="145"/>
      <c r="AN7" s="145"/>
      <c r="AO7" s="145"/>
      <c r="AP7" s="145"/>
      <c r="AQ7" s="145"/>
    </row>
    <row r="8" spans="1:43" ht="12.75" customHeight="1">
      <c r="A8" s="146"/>
      <c r="B8" s="152"/>
      <c r="C8" s="152"/>
      <c r="D8" s="151"/>
      <c r="E8" s="151"/>
      <c r="F8" s="145"/>
      <c r="G8" s="145"/>
      <c r="H8" s="145"/>
      <c r="I8" s="145"/>
      <c r="J8" s="145"/>
      <c r="K8" s="145"/>
      <c r="L8" s="145"/>
      <c r="M8" s="145"/>
      <c r="N8" s="145"/>
      <c r="O8" s="145"/>
      <c r="P8" s="145"/>
      <c r="Q8" s="551"/>
      <c r="R8" s="552"/>
      <c r="S8" s="145"/>
      <c r="T8" s="145"/>
      <c r="U8" s="145"/>
      <c r="V8" s="145"/>
      <c r="W8" s="145"/>
      <c r="X8" s="145"/>
      <c r="Y8" s="145"/>
      <c r="Z8" s="145"/>
      <c r="AA8" s="190"/>
      <c r="AB8" s="190"/>
      <c r="AC8" s="190"/>
      <c r="AD8" s="190"/>
      <c r="AE8" s="190"/>
      <c r="AF8" s="147"/>
      <c r="AG8" s="177"/>
      <c r="AH8" s="177"/>
      <c r="AI8" s="177"/>
      <c r="AJ8" s="177"/>
      <c r="AK8" s="177"/>
      <c r="AL8" s="147"/>
      <c r="AM8" s="146"/>
      <c r="AN8" s="146"/>
      <c r="AO8" s="147"/>
      <c r="AP8" s="146"/>
      <c r="AQ8" s="146"/>
    </row>
    <row r="9" spans="1:43" s="166" customFormat="1">
      <c r="A9" s="164"/>
      <c r="B9" s="553" t="s">
        <v>611</v>
      </c>
      <c r="C9" s="554"/>
      <c r="D9" s="555"/>
      <c r="E9" s="556"/>
      <c r="F9" s="557"/>
      <c r="G9" s="994" t="s">
        <v>612</v>
      </c>
      <c r="H9" s="994"/>
      <c r="I9" s="994"/>
      <c r="J9" s="994"/>
      <c r="K9" s="994"/>
      <c r="L9" s="994"/>
      <c r="M9" s="145"/>
      <c r="N9" s="998" t="s">
        <v>627</v>
      </c>
      <c r="O9" s="998"/>
      <c r="P9" s="998"/>
      <c r="Q9" s="998"/>
      <c r="R9" s="998"/>
      <c r="S9" s="145"/>
      <c r="T9" s="994" t="s">
        <v>358</v>
      </c>
      <c r="U9" s="994"/>
      <c r="V9" s="994"/>
      <c r="W9" s="994"/>
      <c r="X9" s="994" t="s">
        <v>632</v>
      </c>
      <c r="Y9" s="994"/>
      <c r="Z9" s="994"/>
      <c r="AA9" s="994"/>
      <c r="AB9" s="999" t="s">
        <v>464</v>
      </c>
      <c r="AC9" s="999"/>
      <c r="AD9" s="999"/>
      <c r="AE9" s="999"/>
      <c r="AF9" s="1001" t="s">
        <v>379</v>
      </c>
      <c r="AG9" s="1001"/>
      <c r="AH9" s="1001"/>
      <c r="AI9" s="1001"/>
      <c r="AJ9" s="177"/>
      <c r="AK9" s="177"/>
      <c r="AL9" s="147"/>
      <c r="AM9" s="146"/>
      <c r="AN9" s="146"/>
      <c r="AO9" s="147"/>
      <c r="AP9" s="146"/>
      <c r="AQ9" s="146"/>
    </row>
    <row r="10" spans="1:43" s="570" customFormat="1" ht="57.4" customHeight="1">
      <c r="A10" s="559"/>
      <c r="B10" s="560" t="s">
        <v>613</v>
      </c>
      <c r="C10" s="561" t="s">
        <v>365</v>
      </c>
      <c r="D10" s="562" t="s">
        <v>614</v>
      </c>
      <c r="E10" s="563" t="s">
        <v>784</v>
      </c>
      <c r="F10" s="563" t="s">
        <v>615</v>
      </c>
      <c r="G10" s="564" t="s">
        <v>616</v>
      </c>
      <c r="H10" s="565" t="s">
        <v>617</v>
      </c>
      <c r="I10" s="565" t="s">
        <v>618</v>
      </c>
      <c r="J10" s="566" t="s">
        <v>619</v>
      </c>
      <c r="K10" s="564" t="s">
        <v>620</v>
      </c>
      <c r="L10" s="567"/>
      <c r="M10" s="145"/>
      <c r="N10" s="568" t="s">
        <v>645</v>
      </c>
      <c r="O10" s="569" t="s">
        <v>646</v>
      </c>
      <c r="P10" s="567" t="s">
        <v>647</v>
      </c>
      <c r="Q10" s="564" t="s">
        <v>648</v>
      </c>
      <c r="R10" s="567" t="s">
        <v>649</v>
      </c>
      <c r="S10" s="145"/>
      <c r="T10" s="564" t="s">
        <v>633</v>
      </c>
      <c r="U10" s="564" t="s">
        <v>634</v>
      </c>
      <c r="V10" s="564" t="s">
        <v>635</v>
      </c>
      <c r="W10" s="564" t="s">
        <v>636</v>
      </c>
      <c r="X10" s="564" t="s">
        <v>638</v>
      </c>
      <c r="Y10" s="564" t="s">
        <v>634</v>
      </c>
      <c r="Z10" s="564" t="s">
        <v>635</v>
      </c>
      <c r="AA10" s="564" t="s">
        <v>636</v>
      </c>
      <c r="AB10" s="564" t="s">
        <v>637</v>
      </c>
      <c r="AC10" s="564" t="s">
        <v>634</v>
      </c>
      <c r="AD10" s="564" t="s">
        <v>635</v>
      </c>
      <c r="AE10" s="564" t="s">
        <v>636</v>
      </c>
      <c r="AF10" s="1002"/>
      <c r="AG10" s="1002"/>
      <c r="AH10" s="1002"/>
      <c r="AI10" s="1002"/>
      <c r="AJ10" s="177"/>
      <c r="AK10" s="177"/>
      <c r="AL10" s="147"/>
      <c r="AM10" s="146"/>
      <c r="AN10" s="146"/>
      <c r="AO10" s="147"/>
      <c r="AP10" s="146"/>
      <c r="AQ10" s="146"/>
    </row>
    <row r="11" spans="1:43" s="3" customFormat="1">
      <c r="A11" s="5"/>
      <c r="B11" s="209" t="s">
        <v>317</v>
      </c>
      <c r="C11" s="210" t="s">
        <v>318</v>
      </c>
      <c r="D11" s="571"/>
      <c r="E11" s="571"/>
      <c r="F11" s="572">
        <v>0</v>
      </c>
      <c r="G11" s="129"/>
      <c r="H11" s="573">
        <v>6.69</v>
      </c>
      <c r="I11" s="573"/>
      <c r="J11" s="574">
        <f>(W11+AA11+AE11)</f>
        <v>0</v>
      </c>
      <c r="K11" s="575">
        <f>V11+Z11+AD11</f>
        <v>0</v>
      </c>
      <c r="L11" s="576"/>
      <c r="M11" s="53"/>
      <c r="N11" s="577">
        <f t="shared" ref="N11:N22" si="0">G11*F11</f>
        <v>0</v>
      </c>
      <c r="O11" s="578">
        <f t="shared" ref="O11:O22" si="1">(H11+I11)*F11</f>
        <v>0</v>
      </c>
      <c r="P11" s="579">
        <f t="shared" ref="P11:P22" si="2">J11*F11</f>
        <v>0</v>
      </c>
      <c r="Q11" s="575">
        <f t="shared" ref="Q11:Q22" si="3">K11*F11</f>
        <v>0</v>
      </c>
      <c r="R11" s="576">
        <f t="shared" ref="R11:R22" si="4">U11+Y11+AC11</f>
        <v>0</v>
      </c>
      <c r="S11" s="53"/>
      <c r="T11" s="129"/>
      <c r="U11" s="204"/>
      <c r="V11" s="575">
        <f>T11*'Wskazniki emisji paliw'!H$13</f>
        <v>0</v>
      </c>
      <c r="W11" s="131">
        <f>T11*'Wskazniki emisji paliw'!N$13</f>
        <v>0</v>
      </c>
      <c r="X11" s="129"/>
      <c r="Y11" s="204"/>
      <c r="Z11" s="575">
        <f>X11*'Wskazniki emisji paliw'!H$33</f>
        <v>0</v>
      </c>
      <c r="AA11" s="580">
        <f>X11*'Wskazniki emisji paliw'!N$33</f>
        <v>0</v>
      </c>
      <c r="AB11" s="129"/>
      <c r="AC11" s="204"/>
      <c r="AD11" s="575">
        <f>AB11*'Wskazniki emisji paliw'!H$29</f>
        <v>0</v>
      </c>
      <c r="AE11" s="581">
        <f>AB11*'Wskazniki emisji paliw'!M$29</f>
        <v>0</v>
      </c>
      <c r="AF11" s="1000" t="s">
        <v>326</v>
      </c>
      <c r="AG11" s="1000"/>
      <c r="AH11" s="1000"/>
      <c r="AI11" s="1000"/>
      <c r="AJ11" s="177"/>
      <c r="AK11" s="177"/>
      <c r="AL11" s="147"/>
      <c r="AM11" s="146"/>
      <c r="AN11" s="146"/>
      <c r="AO11" s="147"/>
      <c r="AP11" s="146"/>
      <c r="AQ11" s="146"/>
    </row>
    <row r="12" spans="1:43" s="3" customFormat="1">
      <c r="A12" s="5"/>
      <c r="B12" s="209" t="s">
        <v>319</v>
      </c>
      <c r="C12" s="210" t="s">
        <v>320</v>
      </c>
      <c r="D12" s="571"/>
      <c r="E12" s="571"/>
      <c r="F12" s="572"/>
      <c r="G12" s="129"/>
      <c r="H12" s="573"/>
      <c r="I12" s="573"/>
      <c r="J12" s="574">
        <f t="shared" ref="J12:J22" si="5">(W12+AA12+AE12)</f>
        <v>0</v>
      </c>
      <c r="K12" s="575">
        <f t="shared" ref="K12:K22" si="6">V12+Z12+AD12</f>
        <v>0</v>
      </c>
      <c r="L12" s="576"/>
      <c r="M12" s="53"/>
      <c r="N12" s="577">
        <f t="shared" si="0"/>
        <v>0</v>
      </c>
      <c r="O12" s="578">
        <f t="shared" si="1"/>
        <v>0</v>
      </c>
      <c r="P12" s="579">
        <f t="shared" si="2"/>
        <v>0</v>
      </c>
      <c r="Q12" s="575">
        <f t="shared" si="3"/>
        <v>0</v>
      </c>
      <c r="R12" s="576">
        <f t="shared" si="4"/>
        <v>0</v>
      </c>
      <c r="S12" s="53"/>
      <c r="T12" s="129"/>
      <c r="U12" s="204"/>
      <c r="V12" s="575">
        <f>T12*'Wskazniki emisji paliw'!H$13</f>
        <v>0</v>
      </c>
      <c r="W12" s="131">
        <f>T12*'Wskazniki emisji paliw'!N$13</f>
        <v>0</v>
      </c>
      <c r="X12" s="129"/>
      <c r="Y12" s="204"/>
      <c r="Z12" s="575">
        <f>X12*'Wskazniki emisji paliw'!H$33</f>
        <v>0</v>
      </c>
      <c r="AA12" s="580">
        <f>X12*'Wskazniki emisji paliw'!N$33</f>
        <v>0</v>
      </c>
      <c r="AB12" s="129"/>
      <c r="AC12" s="204"/>
      <c r="AD12" s="575">
        <f>AB12*'Wskazniki emisji paliw'!H$29</f>
        <v>0</v>
      </c>
      <c r="AE12" s="581">
        <f>AB12*'Wskazniki emisji paliw'!M$29</f>
        <v>0</v>
      </c>
      <c r="AF12" s="1000" t="s">
        <v>328</v>
      </c>
      <c r="AG12" s="1000"/>
      <c r="AH12" s="1000"/>
      <c r="AI12" s="1000"/>
      <c r="AJ12" s="177"/>
      <c r="AK12" s="177"/>
      <c r="AL12" s="177"/>
      <c r="AM12" s="146"/>
      <c r="AN12" s="146"/>
      <c r="AO12" s="146"/>
      <c r="AP12" s="146"/>
      <c r="AQ12" s="146"/>
    </row>
    <row r="13" spans="1:43" s="3" customFormat="1">
      <c r="A13" s="5"/>
      <c r="B13" s="209" t="s">
        <v>321</v>
      </c>
      <c r="C13" s="210" t="s">
        <v>322</v>
      </c>
      <c r="D13" s="571"/>
      <c r="E13" s="571"/>
      <c r="F13" s="572"/>
      <c r="G13" s="129"/>
      <c r="H13" s="573"/>
      <c r="I13" s="573"/>
      <c r="J13" s="574">
        <f t="shared" si="5"/>
        <v>0</v>
      </c>
      <c r="K13" s="575">
        <f t="shared" si="6"/>
        <v>0</v>
      </c>
      <c r="L13" s="576"/>
      <c r="M13" s="53"/>
      <c r="N13" s="577">
        <f t="shared" si="0"/>
        <v>0</v>
      </c>
      <c r="O13" s="578">
        <f t="shared" si="1"/>
        <v>0</v>
      </c>
      <c r="P13" s="579">
        <f t="shared" si="2"/>
        <v>0</v>
      </c>
      <c r="Q13" s="575">
        <f t="shared" si="3"/>
        <v>0</v>
      </c>
      <c r="R13" s="576">
        <f t="shared" si="4"/>
        <v>0</v>
      </c>
      <c r="S13" s="53"/>
      <c r="T13" s="129"/>
      <c r="U13" s="204"/>
      <c r="V13" s="575">
        <f>T13*'Wskazniki emisji paliw'!H$13</f>
        <v>0</v>
      </c>
      <c r="W13" s="131">
        <f>T13*'Wskazniki emisji paliw'!N$13</f>
        <v>0</v>
      </c>
      <c r="X13" s="129"/>
      <c r="Y13" s="204"/>
      <c r="Z13" s="575">
        <f>X13*'Wskazniki emisji paliw'!H$33</f>
        <v>0</v>
      </c>
      <c r="AA13" s="580">
        <f>X13*'Wskazniki emisji paliw'!N$33</f>
        <v>0</v>
      </c>
      <c r="AB13" s="129"/>
      <c r="AC13" s="204"/>
      <c r="AD13" s="575">
        <f>AB13*'Wskazniki emisji paliw'!H$29</f>
        <v>0</v>
      </c>
      <c r="AE13" s="581">
        <f>AB13*'Wskazniki emisji paliw'!M$29</f>
        <v>0</v>
      </c>
      <c r="AF13" s="1000" t="s">
        <v>327</v>
      </c>
      <c r="AG13" s="1000"/>
      <c r="AH13" s="1000"/>
      <c r="AI13" s="1000"/>
      <c r="AJ13" s="177"/>
      <c r="AK13" s="177"/>
      <c r="AL13" s="177"/>
      <c r="AM13" s="146"/>
      <c r="AN13" s="146"/>
      <c r="AO13" s="146"/>
      <c r="AP13" s="146"/>
      <c r="AQ13" s="146"/>
    </row>
    <row r="14" spans="1:43" s="3" customFormat="1">
      <c r="A14" s="5"/>
      <c r="B14" s="209" t="s">
        <v>323</v>
      </c>
      <c r="C14" s="210" t="s">
        <v>324</v>
      </c>
      <c r="D14" s="571"/>
      <c r="E14" s="571"/>
      <c r="F14" s="572">
        <v>1</v>
      </c>
      <c r="G14" s="129">
        <v>845</v>
      </c>
      <c r="H14" s="573"/>
      <c r="I14" s="573"/>
      <c r="J14" s="574">
        <f t="shared" si="5"/>
        <v>4606.5761918784656</v>
      </c>
      <c r="K14" s="575">
        <f t="shared" si="6"/>
        <v>6510.0985525940005</v>
      </c>
      <c r="L14" s="576"/>
      <c r="M14" s="53"/>
      <c r="N14" s="577">
        <f t="shared" si="0"/>
        <v>845</v>
      </c>
      <c r="O14" s="578">
        <f t="shared" si="1"/>
        <v>0</v>
      </c>
      <c r="P14" s="579">
        <f t="shared" si="2"/>
        <v>4606.5761918784656</v>
      </c>
      <c r="Q14" s="575">
        <f t="shared" si="3"/>
        <v>6510.0985525940005</v>
      </c>
      <c r="R14" s="576">
        <f t="shared" si="4"/>
        <v>0</v>
      </c>
      <c r="S14" s="53"/>
      <c r="T14" s="129"/>
      <c r="U14" s="204"/>
      <c r="V14" s="575">
        <f>T14*'Wskazniki emisji paliw'!H$13</f>
        <v>0</v>
      </c>
      <c r="W14" s="131">
        <f>T14*'Wskazniki emisji paliw'!N$13</f>
        <v>0</v>
      </c>
      <c r="X14" s="129"/>
      <c r="Y14" s="204"/>
      <c r="Z14" s="575">
        <f>X14*'Wskazniki emisji paliw'!H$33</f>
        <v>0</v>
      </c>
      <c r="AA14" s="580">
        <f>X14*'Wskazniki emisji paliw'!N$33</f>
        <v>0</v>
      </c>
      <c r="AB14" s="129">
        <v>621649</v>
      </c>
      <c r="AC14" s="204"/>
      <c r="AD14" s="575">
        <f>AB14*'Wskazniki emisji paliw'!H$29</f>
        <v>6510.0985525940005</v>
      </c>
      <c r="AE14" s="581">
        <f>AB14*'Wskazniki emisji paliw'!M$29</f>
        <v>4606.5761918784656</v>
      </c>
      <c r="AF14" s="1000"/>
      <c r="AG14" s="1000"/>
      <c r="AH14" s="1000"/>
      <c r="AI14" s="1000"/>
      <c r="AJ14" s="177"/>
      <c r="AK14" s="177"/>
      <c r="AL14" s="177"/>
      <c r="AM14" s="146"/>
      <c r="AN14" s="145"/>
      <c r="AO14" s="146"/>
      <c r="AP14" s="145"/>
      <c r="AQ14" s="145"/>
    </row>
    <row r="15" spans="1:43" s="3" customFormat="1">
      <c r="A15" s="5"/>
      <c r="B15" s="209" t="s">
        <v>325</v>
      </c>
      <c r="C15" s="210" t="s">
        <v>324</v>
      </c>
      <c r="D15" s="571"/>
      <c r="E15" s="571"/>
      <c r="F15" s="572"/>
      <c r="G15" s="129"/>
      <c r="H15" s="573"/>
      <c r="I15" s="573"/>
      <c r="J15" s="574">
        <f>(W15+AA15+AE15)</f>
        <v>0</v>
      </c>
      <c r="K15" s="575">
        <f>V15+Z15+AD15</f>
        <v>0</v>
      </c>
      <c r="L15" s="576"/>
      <c r="M15" s="53"/>
      <c r="N15" s="577">
        <f t="shared" si="0"/>
        <v>0</v>
      </c>
      <c r="O15" s="578">
        <f>(H15+I15)*F15</f>
        <v>0</v>
      </c>
      <c r="P15" s="579">
        <f>J15*F15</f>
        <v>0</v>
      </c>
      <c r="Q15" s="575">
        <f t="shared" si="3"/>
        <v>0</v>
      </c>
      <c r="R15" s="576">
        <f t="shared" si="4"/>
        <v>0</v>
      </c>
      <c r="S15" s="53"/>
      <c r="T15" s="129"/>
      <c r="U15" s="204"/>
      <c r="V15" s="575">
        <f>T15*'Wskazniki emisji paliw'!H$13</f>
        <v>0</v>
      </c>
      <c r="W15" s="131">
        <f>T15*'Wskazniki emisji paliw'!N$13</f>
        <v>0</v>
      </c>
      <c r="X15" s="129"/>
      <c r="Y15" s="204"/>
      <c r="Z15" s="575">
        <f>X15*'Wskazniki emisji paliw'!H$33</f>
        <v>0</v>
      </c>
      <c r="AA15" s="580">
        <f>X15*'Wskazniki emisji paliw'!N$33</f>
        <v>0</v>
      </c>
      <c r="AB15" s="129"/>
      <c r="AC15" s="204"/>
      <c r="AD15" s="575">
        <f>AB15*'Wskazniki emisji paliw'!H$29</f>
        <v>0</v>
      </c>
      <c r="AE15" s="581">
        <f>AB15*'Wskazniki emisji paliw'!M$29</f>
        <v>0</v>
      </c>
      <c r="AF15" s="1000" t="s">
        <v>329</v>
      </c>
      <c r="AG15" s="1000"/>
      <c r="AH15" s="1000"/>
      <c r="AI15" s="1000"/>
      <c r="AJ15" s="177"/>
      <c r="AK15" s="177"/>
      <c r="AL15" s="177"/>
      <c r="AM15" s="146"/>
      <c r="AN15" s="145"/>
      <c r="AO15" s="146"/>
      <c r="AP15" s="145"/>
      <c r="AQ15" s="145"/>
    </row>
    <row r="16" spans="1:43" s="3" customFormat="1">
      <c r="A16" s="5"/>
      <c r="B16" s="209" t="s">
        <v>330</v>
      </c>
      <c r="C16" s="210" t="s">
        <v>331</v>
      </c>
      <c r="D16" s="571">
        <v>5.8890000000000002</v>
      </c>
      <c r="E16" s="571"/>
      <c r="F16" s="572">
        <v>0</v>
      </c>
      <c r="G16" s="129">
        <f>D16*8760*0.6</f>
        <v>30952.583999999999</v>
      </c>
      <c r="H16" s="573"/>
      <c r="I16" s="573"/>
      <c r="J16" s="574">
        <f t="shared" si="5"/>
        <v>0</v>
      </c>
      <c r="K16" s="575">
        <f t="shared" si="6"/>
        <v>0</v>
      </c>
      <c r="L16" s="576"/>
      <c r="M16" s="53"/>
      <c r="N16" s="577">
        <f t="shared" si="0"/>
        <v>0</v>
      </c>
      <c r="O16" s="578">
        <f t="shared" si="1"/>
        <v>0</v>
      </c>
      <c r="P16" s="579">
        <f t="shared" si="2"/>
        <v>0</v>
      </c>
      <c r="Q16" s="575">
        <f t="shared" si="3"/>
        <v>0</v>
      </c>
      <c r="R16" s="576">
        <f t="shared" si="4"/>
        <v>0</v>
      </c>
      <c r="S16" s="53"/>
      <c r="T16" s="129"/>
      <c r="U16" s="204"/>
      <c r="V16" s="575">
        <f>T16*'Wskazniki emisji paliw'!H$13</f>
        <v>0</v>
      </c>
      <c r="W16" s="131">
        <f>T16*'Wskazniki emisji paliw'!N$13</f>
        <v>0</v>
      </c>
      <c r="X16" s="129"/>
      <c r="Y16" s="204"/>
      <c r="Z16" s="575">
        <f>X16*'Wskazniki emisji paliw'!H$33</f>
        <v>0</v>
      </c>
      <c r="AA16" s="580">
        <f>X16*'Wskazniki emisji paliw'!N$33</f>
        <v>0</v>
      </c>
      <c r="AB16" s="129"/>
      <c r="AC16" s="204"/>
      <c r="AD16" s="575">
        <f>AB16*'Wskazniki emisji paliw'!H$29</f>
        <v>0</v>
      </c>
      <c r="AE16" s="581">
        <f>AB16*'Wskazniki emisji paliw'!M$29</f>
        <v>0</v>
      </c>
      <c r="AF16" s="1000" t="s">
        <v>332</v>
      </c>
      <c r="AG16" s="1000"/>
      <c r="AH16" s="1000"/>
      <c r="AI16" s="1000"/>
      <c r="AJ16" s="177"/>
      <c r="AK16" s="177"/>
      <c r="AL16" s="177"/>
      <c r="AM16" s="145"/>
      <c r="AN16" s="145"/>
      <c r="AO16" s="145"/>
      <c r="AP16" s="145"/>
      <c r="AQ16" s="145"/>
    </row>
    <row r="17" spans="1:57" s="3" customFormat="1">
      <c r="A17" s="5"/>
      <c r="B17" s="209"/>
      <c r="C17" s="210"/>
      <c r="D17" s="571"/>
      <c r="E17" s="571"/>
      <c r="F17" s="572"/>
      <c r="G17" s="129"/>
      <c r="H17" s="573"/>
      <c r="I17" s="573"/>
      <c r="J17" s="574">
        <f t="shared" si="5"/>
        <v>0</v>
      </c>
      <c r="K17" s="575">
        <f t="shared" si="6"/>
        <v>0</v>
      </c>
      <c r="L17" s="576"/>
      <c r="M17" s="53"/>
      <c r="N17" s="577">
        <f t="shared" si="0"/>
        <v>0</v>
      </c>
      <c r="O17" s="578">
        <f t="shared" si="1"/>
        <v>0</v>
      </c>
      <c r="P17" s="579">
        <f t="shared" si="2"/>
        <v>0</v>
      </c>
      <c r="Q17" s="575">
        <f t="shared" si="3"/>
        <v>0</v>
      </c>
      <c r="R17" s="576">
        <f t="shared" si="4"/>
        <v>0</v>
      </c>
      <c r="S17" s="53"/>
      <c r="T17" s="129"/>
      <c r="U17" s="204"/>
      <c r="V17" s="575">
        <f>T17*'Wskazniki emisji paliw'!H$13</f>
        <v>0</v>
      </c>
      <c r="W17" s="131">
        <f>T17*'Wskazniki emisji paliw'!N$13</f>
        <v>0</v>
      </c>
      <c r="X17" s="129"/>
      <c r="Y17" s="204"/>
      <c r="Z17" s="575">
        <f>X17*'Wskazniki emisji paliw'!H$33</f>
        <v>0</v>
      </c>
      <c r="AA17" s="580">
        <f>X17*'Wskazniki emisji paliw'!N$33</f>
        <v>0</v>
      </c>
      <c r="AB17" s="129"/>
      <c r="AC17" s="204"/>
      <c r="AD17" s="575">
        <f>AB17*'Wskazniki emisji paliw'!H$29</f>
        <v>0</v>
      </c>
      <c r="AE17" s="581">
        <f>AB17*'Wskazniki emisji paliw'!M$29</f>
        <v>0</v>
      </c>
      <c r="AF17" s="1000"/>
      <c r="AG17" s="1000"/>
      <c r="AH17" s="1000"/>
      <c r="AI17" s="1000"/>
      <c r="AJ17" s="177"/>
      <c r="AK17" s="177"/>
      <c r="AL17" s="177"/>
      <c r="AM17" s="145"/>
      <c r="AN17" s="145"/>
      <c r="AO17" s="145"/>
      <c r="AP17" s="145"/>
      <c r="AQ17" s="145"/>
    </row>
    <row r="18" spans="1:57" s="3" customFormat="1">
      <c r="A18" s="5"/>
      <c r="B18" s="209"/>
      <c r="C18" s="210"/>
      <c r="D18" s="571"/>
      <c r="E18" s="571"/>
      <c r="F18" s="572"/>
      <c r="G18" s="129"/>
      <c r="H18" s="573"/>
      <c r="I18" s="573"/>
      <c r="J18" s="574">
        <f t="shared" si="5"/>
        <v>0</v>
      </c>
      <c r="K18" s="575">
        <f t="shared" si="6"/>
        <v>0</v>
      </c>
      <c r="L18" s="576"/>
      <c r="M18" s="53"/>
      <c r="N18" s="577">
        <f t="shared" si="0"/>
        <v>0</v>
      </c>
      <c r="O18" s="578">
        <f t="shared" si="1"/>
        <v>0</v>
      </c>
      <c r="P18" s="579">
        <f t="shared" si="2"/>
        <v>0</v>
      </c>
      <c r="Q18" s="575">
        <f t="shared" si="3"/>
        <v>0</v>
      </c>
      <c r="R18" s="576">
        <f t="shared" si="4"/>
        <v>0</v>
      </c>
      <c r="S18" s="53"/>
      <c r="T18" s="129"/>
      <c r="U18" s="204"/>
      <c r="V18" s="575">
        <f>T18*'Wskazniki emisji paliw'!H$13</f>
        <v>0</v>
      </c>
      <c r="W18" s="131">
        <f>T18*'Wskazniki emisji paliw'!N$13</f>
        <v>0</v>
      </c>
      <c r="X18" s="129"/>
      <c r="Y18" s="204"/>
      <c r="Z18" s="575">
        <f>X18*'Wskazniki emisji paliw'!H$33</f>
        <v>0</v>
      </c>
      <c r="AA18" s="580">
        <f>X18*'Wskazniki emisji paliw'!N$33</f>
        <v>0</v>
      </c>
      <c r="AB18" s="129"/>
      <c r="AC18" s="204"/>
      <c r="AD18" s="575">
        <f>AB18*'Wskazniki emisji paliw'!H$29</f>
        <v>0</v>
      </c>
      <c r="AE18" s="581">
        <f>AB18*'Wskazniki emisji paliw'!M$29</f>
        <v>0</v>
      </c>
      <c r="AF18" s="1000"/>
      <c r="AG18" s="1000"/>
      <c r="AH18" s="1000"/>
      <c r="AI18" s="1000"/>
      <c r="AJ18" s="177"/>
      <c r="AK18" s="177"/>
      <c r="AL18" s="177"/>
      <c r="AM18" s="145"/>
      <c r="AN18" s="145"/>
      <c r="AO18" s="145"/>
      <c r="AP18" s="145"/>
      <c r="AQ18" s="145"/>
    </row>
    <row r="19" spans="1:57" s="3" customFormat="1">
      <c r="A19" s="5"/>
      <c r="B19" s="209"/>
      <c r="C19" s="210"/>
      <c r="D19" s="571"/>
      <c r="E19" s="571"/>
      <c r="F19" s="572"/>
      <c r="G19" s="129"/>
      <c r="H19" s="573"/>
      <c r="I19" s="573"/>
      <c r="J19" s="574">
        <f t="shared" si="5"/>
        <v>0</v>
      </c>
      <c r="K19" s="575">
        <f t="shared" si="6"/>
        <v>0</v>
      </c>
      <c r="L19" s="576"/>
      <c r="M19" s="53"/>
      <c r="N19" s="577">
        <f t="shared" si="0"/>
        <v>0</v>
      </c>
      <c r="O19" s="578">
        <f t="shared" si="1"/>
        <v>0</v>
      </c>
      <c r="P19" s="579">
        <f t="shared" si="2"/>
        <v>0</v>
      </c>
      <c r="Q19" s="575">
        <f t="shared" si="3"/>
        <v>0</v>
      </c>
      <c r="R19" s="576">
        <f t="shared" si="4"/>
        <v>0</v>
      </c>
      <c r="S19" s="53"/>
      <c r="T19" s="129"/>
      <c r="U19" s="204"/>
      <c r="V19" s="575">
        <f>T19*'Wskazniki emisji paliw'!H$13</f>
        <v>0</v>
      </c>
      <c r="W19" s="131">
        <f>T19*'Wskazniki emisji paliw'!N$13</f>
        <v>0</v>
      </c>
      <c r="X19" s="129"/>
      <c r="Y19" s="204"/>
      <c r="Z19" s="575">
        <f>X19*'Wskazniki emisji paliw'!H$33</f>
        <v>0</v>
      </c>
      <c r="AA19" s="580">
        <f>X19*'Wskazniki emisji paliw'!N$33</f>
        <v>0</v>
      </c>
      <c r="AB19" s="129"/>
      <c r="AC19" s="204"/>
      <c r="AD19" s="575">
        <f>AB19*'Wskazniki emisji paliw'!H$29</f>
        <v>0</v>
      </c>
      <c r="AE19" s="581">
        <f>AB19*'Wskazniki emisji paliw'!M$29</f>
        <v>0</v>
      </c>
      <c r="AF19" s="1000"/>
      <c r="AG19" s="1000"/>
      <c r="AH19" s="1000"/>
      <c r="AI19" s="1000"/>
      <c r="AJ19" s="177"/>
      <c r="AK19" s="177"/>
      <c r="AL19" s="177"/>
      <c r="AM19" s="145"/>
      <c r="AN19" s="145"/>
      <c r="AO19" s="145"/>
      <c r="AP19" s="145"/>
      <c r="AQ19" s="145"/>
    </row>
    <row r="20" spans="1:57" s="3" customFormat="1">
      <c r="A20" s="5"/>
      <c r="B20" s="209"/>
      <c r="C20" s="210"/>
      <c r="D20" s="571"/>
      <c r="E20" s="571"/>
      <c r="F20" s="572"/>
      <c r="G20" s="129"/>
      <c r="H20" s="573"/>
      <c r="I20" s="573"/>
      <c r="J20" s="574">
        <f t="shared" si="5"/>
        <v>0</v>
      </c>
      <c r="K20" s="575">
        <f t="shared" si="6"/>
        <v>0</v>
      </c>
      <c r="L20" s="576"/>
      <c r="M20" s="53"/>
      <c r="N20" s="577">
        <f t="shared" si="0"/>
        <v>0</v>
      </c>
      <c r="O20" s="578">
        <f t="shared" si="1"/>
        <v>0</v>
      </c>
      <c r="P20" s="579">
        <f t="shared" si="2"/>
        <v>0</v>
      </c>
      <c r="Q20" s="575">
        <f t="shared" si="3"/>
        <v>0</v>
      </c>
      <c r="R20" s="576">
        <f t="shared" si="4"/>
        <v>0</v>
      </c>
      <c r="S20" s="53"/>
      <c r="T20" s="129"/>
      <c r="U20" s="204"/>
      <c r="V20" s="575">
        <f>T20*'Wskazniki emisji paliw'!H$13</f>
        <v>0</v>
      </c>
      <c r="W20" s="131">
        <f>T20*'Wskazniki emisji paliw'!N$13</f>
        <v>0</v>
      </c>
      <c r="X20" s="129"/>
      <c r="Y20" s="204"/>
      <c r="Z20" s="575">
        <f>X20*'Wskazniki emisji paliw'!H$33</f>
        <v>0</v>
      </c>
      <c r="AA20" s="580">
        <f>X20*'Wskazniki emisji paliw'!N$33</f>
        <v>0</v>
      </c>
      <c r="AB20" s="129"/>
      <c r="AC20" s="204"/>
      <c r="AD20" s="575">
        <f>AB20*'Wskazniki emisji paliw'!H$29</f>
        <v>0</v>
      </c>
      <c r="AE20" s="581">
        <f>AB20*'Wskazniki emisji paliw'!M$29</f>
        <v>0</v>
      </c>
      <c r="AF20" s="1000"/>
      <c r="AG20" s="1000"/>
      <c r="AH20" s="1000"/>
      <c r="AI20" s="1000"/>
      <c r="AJ20" s="177"/>
      <c r="AK20" s="177"/>
      <c r="AL20" s="177"/>
      <c r="AM20" s="147"/>
      <c r="AN20" s="146"/>
      <c r="AO20" s="147"/>
      <c r="AP20" s="146"/>
      <c r="AQ20" s="146"/>
    </row>
    <row r="21" spans="1:57" s="3" customFormat="1">
      <c r="A21" s="5"/>
      <c r="B21" s="209"/>
      <c r="C21" s="210"/>
      <c r="D21" s="571"/>
      <c r="E21" s="571"/>
      <c r="F21" s="572"/>
      <c r="G21" s="129"/>
      <c r="H21" s="573"/>
      <c r="I21" s="573"/>
      <c r="J21" s="574">
        <f t="shared" si="5"/>
        <v>0</v>
      </c>
      <c r="K21" s="575">
        <f t="shared" si="6"/>
        <v>0</v>
      </c>
      <c r="L21" s="576"/>
      <c r="M21" s="53"/>
      <c r="N21" s="577">
        <f t="shared" si="0"/>
        <v>0</v>
      </c>
      <c r="O21" s="578">
        <f t="shared" si="1"/>
        <v>0</v>
      </c>
      <c r="P21" s="579">
        <f t="shared" si="2"/>
        <v>0</v>
      </c>
      <c r="Q21" s="575">
        <f t="shared" si="3"/>
        <v>0</v>
      </c>
      <c r="R21" s="576">
        <f t="shared" si="4"/>
        <v>0</v>
      </c>
      <c r="S21" s="53"/>
      <c r="T21" s="129"/>
      <c r="U21" s="204"/>
      <c r="V21" s="575">
        <f>T21*'Wskazniki emisji paliw'!H$13</f>
        <v>0</v>
      </c>
      <c r="W21" s="131">
        <f>T21*'Wskazniki emisji paliw'!N$13</f>
        <v>0</v>
      </c>
      <c r="X21" s="129"/>
      <c r="Y21" s="204"/>
      <c r="Z21" s="575">
        <f>X21*'Wskazniki emisji paliw'!H$33</f>
        <v>0</v>
      </c>
      <c r="AA21" s="580">
        <f>X21*'Wskazniki emisji paliw'!N$33</f>
        <v>0</v>
      </c>
      <c r="AB21" s="129"/>
      <c r="AC21" s="204"/>
      <c r="AD21" s="575">
        <f>AB21*'Wskazniki emisji paliw'!H$29</f>
        <v>0</v>
      </c>
      <c r="AE21" s="581">
        <f>AB21*'Wskazniki emisji paliw'!M$29</f>
        <v>0</v>
      </c>
      <c r="AF21" s="1000"/>
      <c r="AG21" s="1000"/>
      <c r="AH21" s="1000"/>
      <c r="AI21" s="1000"/>
      <c r="AJ21" s="177"/>
      <c r="AK21" s="177"/>
      <c r="AL21" s="177"/>
      <c r="AM21" s="147"/>
      <c r="AN21" s="146"/>
      <c r="AO21" s="147"/>
      <c r="AP21" s="146"/>
      <c r="AQ21" s="146"/>
    </row>
    <row r="22" spans="1:57" s="3" customFormat="1">
      <c r="A22" s="5"/>
      <c r="B22" s="582" t="s">
        <v>441</v>
      </c>
      <c r="C22" s="212"/>
      <c r="D22" s="583"/>
      <c r="E22" s="583"/>
      <c r="F22" s="572"/>
      <c r="G22" s="213"/>
      <c r="H22" s="584"/>
      <c r="I22" s="584"/>
      <c r="J22" s="574">
        <f t="shared" si="5"/>
        <v>0</v>
      </c>
      <c r="K22" s="575">
        <f t="shared" si="6"/>
        <v>0</v>
      </c>
      <c r="L22" s="576"/>
      <c r="M22" s="53"/>
      <c r="N22" s="577">
        <f t="shared" si="0"/>
        <v>0</v>
      </c>
      <c r="O22" s="578">
        <f t="shared" si="1"/>
        <v>0</v>
      </c>
      <c r="P22" s="579">
        <f t="shared" si="2"/>
        <v>0</v>
      </c>
      <c r="Q22" s="575">
        <f t="shared" si="3"/>
        <v>0</v>
      </c>
      <c r="R22" s="576">
        <f t="shared" si="4"/>
        <v>0</v>
      </c>
      <c r="S22" s="53"/>
      <c r="T22" s="129"/>
      <c r="U22" s="204"/>
      <c r="V22" s="575">
        <f>T22*'Wskazniki emisji paliw'!H$13</f>
        <v>0</v>
      </c>
      <c r="W22" s="131">
        <f>T22*'Wskazniki emisji paliw'!N$13</f>
        <v>0</v>
      </c>
      <c r="X22" s="129"/>
      <c r="Y22" s="204"/>
      <c r="Z22" s="575">
        <f>X22*'Wskazniki emisji paliw'!H$33</f>
        <v>0</v>
      </c>
      <c r="AA22" s="580">
        <f>X22*'Wskazniki emisji paliw'!N$33</f>
        <v>0</v>
      </c>
      <c r="AB22" s="129"/>
      <c r="AC22" s="204"/>
      <c r="AD22" s="575">
        <f>AB22*'Wskazniki emisji paliw'!H$29</f>
        <v>0</v>
      </c>
      <c r="AE22" s="581">
        <f>AB22*'Wskazniki emisji paliw'!M$29</f>
        <v>0</v>
      </c>
      <c r="AF22" s="1000"/>
      <c r="AG22" s="1000"/>
      <c r="AH22" s="1000"/>
      <c r="AI22" s="1000"/>
      <c r="AJ22" s="177"/>
      <c r="AK22" s="177"/>
      <c r="AL22" s="177"/>
      <c r="AM22" s="147"/>
      <c r="AN22" s="146"/>
      <c r="AO22" s="147"/>
      <c r="AP22" s="146"/>
      <c r="AQ22" s="146"/>
    </row>
    <row r="23" spans="1:57" s="186" customFormat="1">
      <c r="A23" s="185"/>
      <c r="B23" s="585" t="s">
        <v>440</v>
      </c>
      <c r="C23" s="586"/>
      <c r="D23" s="586"/>
      <c r="E23" s="586"/>
      <c r="F23" s="586"/>
      <c r="G23" s="587">
        <f>SUM(G11:G22)</f>
        <v>31797.583999999999</v>
      </c>
      <c r="H23" s="587">
        <f>SUM(H11:H22)</f>
        <v>6.69</v>
      </c>
      <c r="I23" s="587">
        <f>SUM(I11:I22)</f>
        <v>0</v>
      </c>
      <c r="J23" s="588">
        <f>SUM(J11:J22)</f>
        <v>4606.5761918784656</v>
      </c>
      <c r="K23" s="588">
        <f>SUM(K11:K22)</f>
        <v>6510.0985525940005</v>
      </c>
      <c r="L23" s="587"/>
      <c r="M23" s="145"/>
      <c r="N23" s="587">
        <f>SUM(N11:N22)</f>
        <v>845</v>
      </c>
      <c r="O23" s="589">
        <f>SUM(O11:O22)</f>
        <v>0</v>
      </c>
      <c r="P23" s="589">
        <f>SUM(P11:P22)</f>
        <v>4606.5761918784656</v>
      </c>
      <c r="Q23" s="587">
        <f>SUM(Q11:Q22)</f>
        <v>6510.0985525940005</v>
      </c>
      <c r="R23" s="587">
        <f>SUM(R11:R22)</f>
        <v>0</v>
      </c>
      <c r="S23" s="145"/>
      <c r="T23" s="587">
        <f t="shared" ref="T23:AE23" si="7">SUM(T11:T22)</f>
        <v>0</v>
      </c>
      <c r="U23" s="587">
        <f t="shared" si="7"/>
        <v>0</v>
      </c>
      <c r="V23" s="587">
        <f t="shared" si="7"/>
        <v>0</v>
      </c>
      <c r="W23" s="587">
        <f t="shared" si="7"/>
        <v>0</v>
      </c>
      <c r="X23" s="587">
        <f t="shared" si="7"/>
        <v>0</v>
      </c>
      <c r="Y23" s="587">
        <f t="shared" si="7"/>
        <v>0</v>
      </c>
      <c r="Z23" s="587">
        <f t="shared" si="7"/>
        <v>0</v>
      </c>
      <c r="AA23" s="587">
        <f t="shared" si="7"/>
        <v>0</v>
      </c>
      <c r="AB23" s="587">
        <f t="shared" si="7"/>
        <v>621649</v>
      </c>
      <c r="AC23" s="587">
        <f t="shared" si="7"/>
        <v>0</v>
      </c>
      <c r="AD23" s="587">
        <f t="shared" si="7"/>
        <v>6510.0985525940005</v>
      </c>
      <c r="AE23" s="587">
        <f t="shared" si="7"/>
        <v>4606.5761918784656</v>
      </c>
      <c r="AF23" s="185"/>
      <c r="AG23" s="177"/>
      <c r="AH23" s="177"/>
      <c r="AI23" s="177"/>
      <c r="AJ23" s="177"/>
      <c r="AK23" s="177"/>
      <c r="AL23" s="177"/>
      <c r="AM23" s="147"/>
      <c r="AN23" s="146"/>
      <c r="AO23" s="147"/>
      <c r="AP23" s="146"/>
      <c r="AQ23" s="146"/>
    </row>
    <row r="24" spans="1:57" s="186" customFormat="1">
      <c r="A24" s="185"/>
      <c r="B24" s="145"/>
      <c r="C24" s="145"/>
      <c r="D24" s="145"/>
      <c r="E24" s="145"/>
      <c r="F24" s="145"/>
      <c r="G24" s="145"/>
      <c r="H24" s="145"/>
      <c r="I24" s="145"/>
      <c r="J24" s="853" t="s">
        <v>621</v>
      </c>
      <c r="K24" s="853" t="s">
        <v>621</v>
      </c>
      <c r="L24" s="145"/>
      <c r="M24" s="145"/>
      <c r="N24" s="145"/>
      <c r="O24" s="551"/>
      <c r="P24" s="853" t="s">
        <v>631</v>
      </c>
      <c r="Q24" s="853" t="s">
        <v>631</v>
      </c>
      <c r="R24" s="145"/>
      <c r="S24" s="145"/>
      <c r="T24" s="145"/>
      <c r="U24" s="145"/>
      <c r="V24" s="145"/>
      <c r="W24" s="145"/>
      <c r="X24" s="146"/>
      <c r="Y24" s="146"/>
      <c r="Z24" s="146"/>
      <c r="AA24" s="146"/>
      <c r="AB24" s="146"/>
      <c r="AC24" s="146"/>
      <c r="AD24" s="146"/>
      <c r="AE24" s="146"/>
      <c r="AF24" s="146"/>
      <c r="AG24" s="146"/>
      <c r="AH24" s="146"/>
      <c r="AJ24" s="145"/>
      <c r="AK24" s="145"/>
      <c r="AL24" s="145"/>
      <c r="AM24" s="145"/>
      <c r="AN24" s="145"/>
      <c r="AO24" s="145"/>
      <c r="AP24" s="145"/>
      <c r="AQ24" s="145"/>
      <c r="AR24" s="145"/>
    </row>
    <row r="25" spans="1:57" s="186" customFormat="1">
      <c r="A25" s="185"/>
      <c r="B25" s="145"/>
      <c r="C25" s="145"/>
      <c r="D25" s="591"/>
      <c r="E25" s="592"/>
      <c r="F25" s="592"/>
      <c r="G25" s="593"/>
      <c r="H25" s="593"/>
      <c r="I25" s="594" t="s">
        <v>622</v>
      </c>
      <c r="J25" s="595">
        <f>G23+H23+I23</f>
        <v>31804.273999999998</v>
      </c>
      <c r="K25" s="145"/>
      <c r="L25" s="591"/>
      <c r="M25" s="592"/>
      <c r="N25" s="592"/>
      <c r="O25" s="593"/>
      <c r="P25" s="593"/>
      <c r="Q25" s="594" t="s">
        <v>629</v>
      </c>
      <c r="R25" s="595">
        <f>N23+O23</f>
        <v>845</v>
      </c>
      <c r="S25" s="145"/>
      <c r="T25"/>
      <c r="U25"/>
      <c r="V25"/>
      <c r="W25"/>
      <c r="X25"/>
      <c r="Y25"/>
      <c r="Z25"/>
      <c r="AA25"/>
      <c r="AB25"/>
      <c r="AC25"/>
      <c r="AD25"/>
      <c r="AE25"/>
      <c r="AF25"/>
      <c r="AG25"/>
      <c r="AH25"/>
      <c r="AI25"/>
      <c r="AJ25" s="145"/>
      <c r="AK25" s="145"/>
      <c r="AL25" s="145"/>
      <c r="AM25" s="145"/>
      <c r="AN25" s="145"/>
      <c r="AO25" s="145"/>
      <c r="AP25" s="145"/>
      <c r="AQ25" s="145"/>
      <c r="AR25" s="145"/>
    </row>
    <row r="26" spans="1:57" s="186" customFormat="1">
      <c r="A26" s="185"/>
      <c r="B26" s="145"/>
      <c r="C26" s="145"/>
      <c r="D26" s="157"/>
      <c r="E26" s="158"/>
      <c r="F26" s="158"/>
      <c r="G26" s="596"/>
      <c r="H26" s="596"/>
      <c r="I26" s="597" t="s">
        <v>623</v>
      </c>
      <c r="J26" s="598">
        <f>IFERROR(J23/J25,0)</f>
        <v>0.14484141948589885</v>
      </c>
      <c r="K26" s="145"/>
      <c r="L26" s="591"/>
      <c r="M26" s="592"/>
      <c r="N26" s="592"/>
      <c r="O26" s="593"/>
      <c r="P26" s="593"/>
      <c r="Q26" s="599" t="s">
        <v>630</v>
      </c>
      <c r="R26" s="600">
        <f>IFERROR(P23/J23,0)</f>
        <v>1</v>
      </c>
      <c r="S26" s="145"/>
      <c r="T26"/>
      <c r="U26"/>
      <c r="V26"/>
      <c r="W26"/>
      <c r="X26"/>
      <c r="Y26"/>
      <c r="Z26"/>
      <c r="AA26"/>
      <c r="AB26"/>
      <c r="AC26"/>
      <c r="AD26"/>
      <c r="AE26"/>
      <c r="AF26"/>
      <c r="AG26"/>
      <c r="AH26"/>
      <c r="AI26"/>
      <c r="AJ26" s="145"/>
      <c r="AK26" s="145"/>
      <c r="AL26" s="145"/>
      <c r="AM26" s="145"/>
      <c r="AN26" s="145"/>
      <c r="AO26" s="145"/>
      <c r="AP26" s="145"/>
      <c r="AQ26" s="145"/>
      <c r="AR26" s="145"/>
    </row>
    <row r="27" spans="1:57" s="186" customFormat="1">
      <c r="A27" s="185"/>
      <c r="B27" s="145"/>
      <c r="C27" s="145"/>
      <c r="D27" s="145"/>
      <c r="E27" s="145"/>
      <c r="F27" s="145"/>
      <c r="G27" s="145"/>
      <c r="H27" s="145"/>
      <c r="I27" s="145"/>
      <c r="J27" s="145"/>
      <c r="K27" s="145"/>
      <c r="L27" s="145"/>
      <c r="M27" s="145"/>
      <c r="N27" s="145"/>
      <c r="O27" s="145"/>
      <c r="P27" s="145"/>
      <c r="Q27" s="145"/>
      <c r="R27" s="185"/>
      <c r="S27" s="145"/>
      <c r="T27"/>
      <c r="U27"/>
      <c r="V27"/>
      <c r="W27"/>
      <c r="X27"/>
      <c r="Y27"/>
      <c r="Z27"/>
      <c r="AA27"/>
      <c r="AB27"/>
      <c r="AC27"/>
      <c r="AD27"/>
      <c r="AE27"/>
      <c r="AF27"/>
      <c r="AG27"/>
      <c r="AH27"/>
      <c r="AI27"/>
      <c r="AJ27" s="145"/>
      <c r="AK27" s="145"/>
      <c r="AL27" s="145"/>
      <c r="AM27" s="145"/>
      <c r="AN27" s="145"/>
      <c r="AO27" s="145"/>
      <c r="AP27" s="145"/>
      <c r="AQ27" s="145"/>
      <c r="AR27" s="145"/>
    </row>
    <row r="28" spans="1:57">
      <c r="A28" s="146"/>
      <c r="B28" s="145"/>
      <c r="C28" s="145"/>
      <c r="D28" s="145"/>
      <c r="E28" s="145"/>
      <c r="F28" s="145"/>
      <c r="G28" s="145"/>
      <c r="H28" s="145"/>
      <c r="I28" s="145"/>
      <c r="J28" s="145"/>
      <c r="K28" s="145"/>
      <c r="L28" s="145"/>
      <c r="M28" s="145"/>
      <c r="N28" s="145"/>
      <c r="O28" s="551"/>
      <c r="P28" s="145"/>
      <c r="Q28" s="145"/>
      <c r="R28" s="145"/>
      <c r="S28" s="145"/>
      <c r="T28" s="145"/>
      <c r="U28" s="145"/>
      <c r="V28" s="145"/>
      <c r="W28" s="145"/>
      <c r="X28" s="145"/>
      <c r="Y28" s="145"/>
      <c r="Z28" s="145"/>
      <c r="AA28" s="145"/>
      <c r="AB28" s="145"/>
      <c r="AC28" s="145"/>
      <c r="AD28" s="145"/>
      <c r="AE28" s="146"/>
      <c r="AF28" s="146"/>
      <c r="AG28" s="146"/>
      <c r="AH28" s="146"/>
      <c r="AI28" s="146"/>
      <c r="AJ28" s="145"/>
      <c r="AK28" s="145"/>
      <c r="AL28" s="145"/>
      <c r="AM28" s="145"/>
      <c r="AN28" s="145"/>
      <c r="AO28" s="145"/>
      <c r="AP28" s="145"/>
      <c r="AQ28" s="145"/>
      <c r="AR28" s="145"/>
    </row>
    <row r="29" spans="1:57" s="166" customFormat="1">
      <c r="A29" s="164"/>
      <c r="B29" s="601" t="s">
        <v>625</v>
      </c>
      <c r="C29" s="602"/>
      <c r="D29" s="603"/>
      <c r="E29" s="604"/>
      <c r="F29" s="605"/>
      <c r="G29" s="994" t="s">
        <v>626</v>
      </c>
      <c r="H29" s="994"/>
      <c r="I29" s="994"/>
      <c r="J29" s="994"/>
      <c r="K29" s="994"/>
      <c r="L29" s="994"/>
      <c r="M29" s="145"/>
      <c r="N29" s="998" t="s">
        <v>628</v>
      </c>
      <c r="O29" s="998"/>
      <c r="P29" s="998"/>
      <c r="Q29" s="998"/>
      <c r="R29" s="998"/>
      <c r="S29" s="145"/>
      <c r="T29" s="999" t="s">
        <v>514</v>
      </c>
      <c r="U29" s="999"/>
      <c r="V29" s="999"/>
      <c r="W29" s="999"/>
      <c r="X29" s="999" t="s">
        <v>398</v>
      </c>
      <c r="Y29" s="999"/>
      <c r="Z29" s="999"/>
      <c r="AA29" s="999"/>
      <c r="AB29" s="994" t="s">
        <v>465</v>
      </c>
      <c r="AC29" s="994"/>
      <c r="AD29" s="994"/>
      <c r="AE29" s="994"/>
      <c r="AF29" s="996" t="s">
        <v>415</v>
      </c>
      <c r="AG29" s="996"/>
      <c r="AH29" s="996"/>
      <c r="AI29" s="996"/>
      <c r="AJ29" s="997" t="s">
        <v>354</v>
      </c>
      <c r="AK29" s="997"/>
      <c r="AL29" s="997"/>
      <c r="AM29" s="997"/>
      <c r="AN29" s="994" t="s">
        <v>355</v>
      </c>
      <c r="AO29" s="994"/>
      <c r="AP29" s="994"/>
      <c r="AQ29" s="994"/>
      <c r="AR29" s="994" t="s">
        <v>517</v>
      </c>
      <c r="AS29" s="994"/>
      <c r="AT29" s="994"/>
      <c r="AU29" s="994"/>
      <c r="AV29" s="994" t="s">
        <v>642</v>
      </c>
      <c r="AW29" s="994"/>
      <c r="AX29" s="994"/>
      <c r="AY29" s="994"/>
      <c r="AZ29" s="558" t="s">
        <v>379</v>
      </c>
      <c r="BA29" s="145"/>
      <c r="BB29" s="145"/>
      <c r="BC29" s="145"/>
      <c r="BD29" s="145"/>
      <c r="BE29" s="145"/>
    </row>
    <row r="30" spans="1:57" s="570" customFormat="1" ht="60">
      <c r="A30" s="559"/>
      <c r="B30" s="560" t="s">
        <v>613</v>
      </c>
      <c r="C30" s="561" t="s">
        <v>365</v>
      </c>
      <c r="D30" s="562" t="s">
        <v>614</v>
      </c>
      <c r="E30" s="563" t="s">
        <v>784</v>
      </c>
      <c r="F30" s="563" t="s">
        <v>615</v>
      </c>
      <c r="G30" s="564" t="s">
        <v>616</v>
      </c>
      <c r="H30" s="565" t="s">
        <v>617</v>
      </c>
      <c r="I30" s="565" t="s">
        <v>618</v>
      </c>
      <c r="J30" s="566" t="s">
        <v>619</v>
      </c>
      <c r="K30" s="564" t="s">
        <v>620</v>
      </c>
      <c r="L30" s="567"/>
      <c r="M30" s="145"/>
      <c r="N30" s="568" t="s">
        <v>645</v>
      </c>
      <c r="O30" s="569" t="s">
        <v>646</v>
      </c>
      <c r="P30" s="567" t="s">
        <v>647</v>
      </c>
      <c r="Q30" s="564" t="s">
        <v>648</v>
      </c>
      <c r="R30" s="567" t="s">
        <v>650</v>
      </c>
      <c r="S30" s="145"/>
      <c r="T30" s="564" t="s">
        <v>637</v>
      </c>
      <c r="U30" s="564" t="s">
        <v>634</v>
      </c>
      <c r="V30" s="564" t="s">
        <v>635</v>
      </c>
      <c r="W30" s="564" t="s">
        <v>639</v>
      </c>
      <c r="X30" s="564" t="s">
        <v>637</v>
      </c>
      <c r="Y30" s="564" t="s">
        <v>634</v>
      </c>
      <c r="Z30" s="564" t="s">
        <v>635</v>
      </c>
      <c r="AA30" s="564" t="s">
        <v>639</v>
      </c>
      <c r="AB30" s="564" t="s">
        <v>641</v>
      </c>
      <c r="AC30" s="564" t="s">
        <v>634</v>
      </c>
      <c r="AD30" s="564" t="s">
        <v>635</v>
      </c>
      <c r="AE30" s="564" t="s">
        <v>639</v>
      </c>
      <c r="AF30" s="564" t="s">
        <v>641</v>
      </c>
      <c r="AG30" s="564" t="s">
        <v>634</v>
      </c>
      <c r="AH30" s="564" t="s">
        <v>635</v>
      </c>
      <c r="AI30" s="564" t="s">
        <v>639</v>
      </c>
      <c r="AJ30" s="564" t="s">
        <v>640</v>
      </c>
      <c r="AK30" s="564" t="s">
        <v>634</v>
      </c>
      <c r="AL30" s="564" t="s">
        <v>635</v>
      </c>
      <c r="AM30" s="564" t="s">
        <v>639</v>
      </c>
      <c r="AN30" s="564" t="s">
        <v>640</v>
      </c>
      <c r="AO30" s="564" t="s">
        <v>634</v>
      </c>
      <c r="AP30" s="564" t="s">
        <v>635</v>
      </c>
      <c r="AQ30" s="564" t="s">
        <v>639</v>
      </c>
      <c r="AR30" s="564" t="s">
        <v>640</v>
      </c>
      <c r="AS30" s="564" t="s">
        <v>634</v>
      </c>
      <c r="AT30" s="564" t="s">
        <v>635</v>
      </c>
      <c r="AU30" s="564" t="s">
        <v>639</v>
      </c>
      <c r="AV30" s="564" t="s">
        <v>640</v>
      </c>
      <c r="AW30" s="564" t="s">
        <v>634</v>
      </c>
      <c r="AX30" s="564" t="s">
        <v>635</v>
      </c>
      <c r="AY30" s="564" t="s">
        <v>639</v>
      </c>
      <c r="AZ30" s="382"/>
      <c r="BA30" s="146"/>
      <c r="BB30" s="146"/>
      <c r="BC30" s="146"/>
      <c r="BD30" s="146"/>
      <c r="BE30" s="146"/>
    </row>
    <row r="31" spans="1:57" s="3" customFormat="1">
      <c r="A31" s="5"/>
      <c r="B31" s="202" t="s">
        <v>314</v>
      </c>
      <c r="C31" s="606" t="s">
        <v>189</v>
      </c>
      <c r="D31" s="607">
        <v>6041</v>
      </c>
      <c r="E31" s="607"/>
      <c r="F31" s="572">
        <v>0.40039999999999998</v>
      </c>
      <c r="G31" s="608"/>
      <c r="H31" s="573"/>
      <c r="I31" s="573"/>
      <c r="J31" s="574">
        <f t="shared" ref="J31:J39" si="8">W31+AA31+AE31+AI31+AM31+AQ31+AU31+AY31</f>
        <v>6768.8976276585799</v>
      </c>
      <c r="K31" s="575">
        <f t="shared" ref="K31:K39" si="9">V31+Z31+AD31+AH31+AL31+AP31+AT31+AX31</f>
        <v>9356.8584792689999</v>
      </c>
      <c r="L31" s="576"/>
      <c r="M31" s="53"/>
      <c r="N31" s="577">
        <f t="shared" ref="N31:N39" si="10">G31*F31</f>
        <v>0</v>
      </c>
      <c r="O31" s="578">
        <f t="shared" ref="O31:O39" si="11">(H31+I31)*F31</f>
        <v>0</v>
      </c>
      <c r="P31" s="579">
        <f t="shared" ref="P31:P39" si="12">J31*F31</f>
        <v>2710.2666101144951</v>
      </c>
      <c r="Q31" s="575">
        <f t="shared" ref="Q31:Q39" si="13">K31*F31</f>
        <v>3746.4861350993074</v>
      </c>
      <c r="R31" s="609">
        <f t="shared" ref="R31:R39" si="14">U31+Y31+AC31+AG31+AK31+AO31+AS31+AW31</f>
        <v>0</v>
      </c>
      <c r="S31" s="53"/>
      <c r="T31" s="129">
        <v>933345</v>
      </c>
      <c r="U31" s="204"/>
      <c r="V31" s="575">
        <f>T31*'Wskazniki emisji paliw'!H$26</f>
        <v>9356.8584792689999</v>
      </c>
      <c r="W31" s="131">
        <f>T31*'Wskazniki emisji paliw'!M$26</f>
        <v>6768.8976276585799</v>
      </c>
      <c r="X31" s="129"/>
      <c r="Y31" s="204"/>
      <c r="Z31" s="575">
        <f>X31*'Wskazniki emisji paliw'!H$27</f>
        <v>0</v>
      </c>
      <c r="AA31" s="131">
        <f>X31*'Wskazniki emisji paliw'!M$27</f>
        <v>0</v>
      </c>
      <c r="AB31" s="129"/>
      <c r="AC31" s="204"/>
      <c r="AD31" s="575">
        <f>AB31*'Wskazniki emisji paliw'!H$17</f>
        <v>0</v>
      </c>
      <c r="AE31" s="131">
        <f>AB31*'Wskazniki emisji paliw'!L$17</f>
        <v>0</v>
      </c>
      <c r="AF31" s="129"/>
      <c r="AG31" s="204"/>
      <c r="AH31" s="575">
        <f>AF31*'Wskazniki emisji paliw'!H$18</f>
        <v>0</v>
      </c>
      <c r="AI31" s="131">
        <f>AF31*'Wskazniki emisji paliw'!L$18</f>
        <v>0</v>
      </c>
      <c r="AJ31" s="129"/>
      <c r="AK31" s="204"/>
      <c r="AL31" s="575">
        <f>AJ31*'Wskazniki emisji paliw'!H$10</f>
        <v>0</v>
      </c>
      <c r="AM31" s="131">
        <f>AJ31*'Wskazniki emisji paliw'!N$10</f>
        <v>0</v>
      </c>
      <c r="AN31" s="129"/>
      <c r="AO31" s="204"/>
      <c r="AP31" s="575">
        <f>AN31*'Wskazniki emisji paliw'!H$11</f>
        <v>0</v>
      </c>
      <c r="AQ31" s="131">
        <f>AN31*'Wskazniki emisji paliw'!N$11</f>
        <v>0</v>
      </c>
      <c r="AR31" s="129"/>
      <c r="AS31" s="204"/>
      <c r="AT31" s="575">
        <f>AR31*'Wskazniki emisji paliw'!N$12</f>
        <v>0</v>
      </c>
      <c r="AU31" s="131">
        <f>AR31*'Wskazniki emisji paliw'!N$12</f>
        <v>0</v>
      </c>
      <c r="AV31" s="129"/>
      <c r="AW31" s="204"/>
      <c r="AX31" s="575">
        <f>AV31*'Wskazniki emisji paliw'!H$33</f>
        <v>0</v>
      </c>
      <c r="AY31" s="131"/>
      <c r="AZ31" s="610"/>
      <c r="BA31" s="5"/>
      <c r="BB31" s="5"/>
      <c r="BC31" s="5"/>
      <c r="BD31" s="5"/>
      <c r="BE31" s="5"/>
    </row>
    <row r="32" spans="1:57" s="3" customFormat="1">
      <c r="A32" s="5"/>
      <c r="B32" s="202" t="s">
        <v>315</v>
      </c>
      <c r="C32" s="606" t="s">
        <v>189</v>
      </c>
      <c r="D32" s="607"/>
      <c r="E32" s="607"/>
      <c r="F32" s="572">
        <v>0.4</v>
      </c>
      <c r="G32" s="608"/>
      <c r="H32" s="573"/>
      <c r="I32" s="573"/>
      <c r="J32" s="574">
        <f t="shared" si="8"/>
        <v>18657.984799999998</v>
      </c>
      <c r="K32" s="575">
        <f t="shared" si="9"/>
        <v>55136.329975999994</v>
      </c>
      <c r="L32" s="576"/>
      <c r="M32" s="53"/>
      <c r="N32" s="577">
        <f t="shared" si="10"/>
        <v>0</v>
      </c>
      <c r="O32" s="578">
        <f t="shared" si="11"/>
        <v>0</v>
      </c>
      <c r="P32" s="579">
        <f t="shared" si="12"/>
        <v>7463.1939199999997</v>
      </c>
      <c r="Q32" s="575">
        <f t="shared" si="13"/>
        <v>22054.531990399999</v>
      </c>
      <c r="R32" s="609">
        <f t="shared" si="14"/>
        <v>0</v>
      </c>
      <c r="S32" s="53"/>
      <c r="T32" s="129"/>
      <c r="U32" s="204"/>
      <c r="V32" s="575">
        <f>T32*'Wskazniki emisji paliw'!H$26</f>
        <v>0</v>
      </c>
      <c r="W32" s="131">
        <f>T32*'Wskazniki emisji paliw'!M$26</f>
        <v>0</v>
      </c>
      <c r="X32" s="129"/>
      <c r="Y32" s="204"/>
      <c r="Z32" s="575">
        <f>X32*'Wskazniki emisji paliw'!H$27</f>
        <v>0</v>
      </c>
      <c r="AA32" s="131">
        <f>X32*'Wskazniki emisji paliw'!M$27</f>
        <v>0</v>
      </c>
      <c r="AB32" s="129"/>
      <c r="AC32" s="204"/>
      <c r="AD32" s="575">
        <f>AB32*'Wskazniki emisji paliw'!H$17</f>
        <v>0</v>
      </c>
      <c r="AE32" s="131">
        <f>AB32*'Wskazniki emisji paliw'!L$17</f>
        <v>0</v>
      </c>
      <c r="AF32" s="129"/>
      <c r="AG32" s="204"/>
      <c r="AH32" s="575">
        <f>AF32*'Wskazniki emisji paliw'!H$18</f>
        <v>0</v>
      </c>
      <c r="AI32" s="131">
        <f>AF32*'Wskazniki emisji paliw'!L$18</f>
        <v>0</v>
      </c>
      <c r="AJ32" s="129">
        <v>7790</v>
      </c>
      <c r="AK32" s="204"/>
      <c r="AL32" s="575">
        <f>AJ32*'Wskazniki emisji paliw'!H$10</f>
        <v>55136.329975999994</v>
      </c>
      <c r="AM32" s="131">
        <f>AJ32*'Wskazniki emisji paliw'!N$10</f>
        <v>18657.984799999998</v>
      </c>
      <c r="AN32" s="129"/>
      <c r="AO32" s="204"/>
      <c r="AP32" s="575">
        <f>AN32*'Wskazniki emisji paliw'!H$11</f>
        <v>0</v>
      </c>
      <c r="AQ32" s="131">
        <f>AN32*'Wskazniki emisji paliw'!N$11</f>
        <v>0</v>
      </c>
      <c r="AR32" s="129"/>
      <c r="AS32" s="204"/>
      <c r="AT32" s="575">
        <f>AR32*'Wskazniki emisji paliw'!N$12</f>
        <v>0</v>
      </c>
      <c r="AU32" s="131">
        <f>AR32*'Wskazniki emisji paliw'!N$12</f>
        <v>0</v>
      </c>
      <c r="AV32" s="129"/>
      <c r="AW32" s="204"/>
      <c r="AX32" s="575">
        <f>AV32*'Wskazniki emisji paliw'!H$12</f>
        <v>0</v>
      </c>
      <c r="AY32" s="131"/>
      <c r="AZ32" s="610"/>
      <c r="BA32" s="53"/>
      <c r="BB32" s="53"/>
      <c r="BC32" s="53"/>
      <c r="BD32" s="53"/>
      <c r="BE32" s="53"/>
    </row>
    <row r="33" spans="1:57" s="3" customFormat="1">
      <c r="A33" s="5"/>
      <c r="B33" s="202" t="s">
        <v>316</v>
      </c>
      <c r="C33" s="606" t="s">
        <v>189</v>
      </c>
      <c r="D33" s="607"/>
      <c r="E33" s="607"/>
      <c r="F33" s="572">
        <v>0.4</v>
      </c>
      <c r="G33" s="608"/>
      <c r="H33" s="573"/>
      <c r="I33" s="573"/>
      <c r="J33" s="574">
        <f t="shared" si="8"/>
        <v>58898.395919999995</v>
      </c>
      <c r="K33" s="575">
        <f t="shared" si="9"/>
        <v>174051.0257304</v>
      </c>
      <c r="L33" s="576"/>
      <c r="M33" s="53"/>
      <c r="N33" s="577">
        <f t="shared" si="10"/>
        <v>0</v>
      </c>
      <c r="O33" s="578">
        <f t="shared" si="11"/>
        <v>0</v>
      </c>
      <c r="P33" s="579">
        <f t="shared" si="12"/>
        <v>23559.358368000001</v>
      </c>
      <c r="Q33" s="575">
        <f t="shared" si="13"/>
        <v>69620.410292159999</v>
      </c>
      <c r="R33" s="609">
        <f t="shared" si="14"/>
        <v>0</v>
      </c>
      <c r="S33" s="53"/>
      <c r="T33" s="129"/>
      <c r="U33" s="204"/>
      <c r="V33" s="575">
        <f>T33*'Wskazniki emisji paliw'!H$26</f>
        <v>0</v>
      </c>
      <c r="W33" s="131">
        <f>T33*'Wskazniki emisji paliw'!M$26</f>
        <v>0</v>
      </c>
      <c r="X33" s="129"/>
      <c r="Y33" s="204"/>
      <c r="Z33" s="575">
        <f>X33*'Wskazniki emisji paliw'!H$27</f>
        <v>0</v>
      </c>
      <c r="AA33" s="131">
        <f>X33*'Wskazniki emisji paliw'!M$27</f>
        <v>0</v>
      </c>
      <c r="AB33" s="129"/>
      <c r="AC33" s="204"/>
      <c r="AD33" s="575">
        <f>AB33*'Wskazniki emisji paliw'!H$17</f>
        <v>0</v>
      </c>
      <c r="AE33" s="131">
        <f>AB33*'Wskazniki emisji paliw'!L$17</f>
        <v>0</v>
      </c>
      <c r="AF33" s="129"/>
      <c r="AG33" s="204"/>
      <c r="AH33" s="575">
        <f>AF33*'Wskazniki emisji paliw'!H$18</f>
        <v>0</v>
      </c>
      <c r="AI33" s="131">
        <f>AF33*'Wskazniki emisji paliw'!L$18</f>
        <v>0</v>
      </c>
      <c r="AJ33" s="129">
        <v>24591</v>
      </c>
      <c r="AK33" s="204"/>
      <c r="AL33" s="575">
        <f>AJ33*'Wskazniki emisji paliw'!H$10</f>
        <v>174051.0257304</v>
      </c>
      <c r="AM33" s="131">
        <f>AJ33*'Wskazniki emisji paliw'!N$10</f>
        <v>58898.395919999995</v>
      </c>
      <c r="AN33" s="129"/>
      <c r="AO33" s="204"/>
      <c r="AP33" s="575">
        <f>AN33*'Wskazniki emisji paliw'!H$11</f>
        <v>0</v>
      </c>
      <c r="AQ33" s="131">
        <f>AN33*'Wskazniki emisji paliw'!N$11</f>
        <v>0</v>
      </c>
      <c r="AR33" s="129"/>
      <c r="AS33" s="204"/>
      <c r="AT33" s="575">
        <f>AR33*'Wskazniki emisji paliw'!N$12</f>
        <v>0</v>
      </c>
      <c r="AU33" s="131">
        <f>AR33*'Wskazniki emisji paliw'!N$12</f>
        <v>0</v>
      </c>
      <c r="AV33" s="129"/>
      <c r="AW33" s="204"/>
      <c r="AX33" s="575">
        <f>AV33*'Wskazniki emisji paliw'!H$12</f>
        <v>0</v>
      </c>
      <c r="AY33" s="131"/>
      <c r="AZ33" s="610"/>
      <c r="BA33" s="53"/>
      <c r="BB33" s="53"/>
      <c r="BC33" s="53"/>
      <c r="BD33" s="53"/>
      <c r="BE33" s="53"/>
    </row>
    <row r="34" spans="1:57" s="3" customFormat="1">
      <c r="A34" s="5"/>
      <c r="B34" s="202"/>
      <c r="C34" s="611"/>
      <c r="D34" s="607"/>
      <c r="E34" s="607"/>
      <c r="F34" s="572"/>
      <c r="G34" s="608"/>
      <c r="H34" s="573"/>
      <c r="I34" s="573"/>
      <c r="J34" s="574">
        <f t="shared" si="8"/>
        <v>0</v>
      </c>
      <c r="K34" s="575">
        <f t="shared" si="9"/>
        <v>0</v>
      </c>
      <c r="L34" s="576"/>
      <c r="M34" s="53"/>
      <c r="N34" s="577">
        <f t="shared" si="10"/>
        <v>0</v>
      </c>
      <c r="O34" s="578">
        <f t="shared" si="11"/>
        <v>0</v>
      </c>
      <c r="P34" s="579">
        <f t="shared" si="12"/>
        <v>0</v>
      </c>
      <c r="Q34" s="575">
        <f t="shared" si="13"/>
        <v>0</v>
      </c>
      <c r="R34" s="609">
        <f t="shared" si="14"/>
        <v>0</v>
      </c>
      <c r="S34" s="53"/>
      <c r="T34" s="129"/>
      <c r="U34" s="204"/>
      <c r="V34" s="575">
        <f>T34*'Wskazniki emisji paliw'!H$26</f>
        <v>0</v>
      </c>
      <c r="W34" s="131">
        <f>T34*'Wskazniki emisji paliw'!M$26</f>
        <v>0</v>
      </c>
      <c r="X34" s="129"/>
      <c r="Y34" s="204"/>
      <c r="Z34" s="575">
        <f>X34*'Wskazniki emisji paliw'!H$27</f>
        <v>0</v>
      </c>
      <c r="AA34" s="131">
        <f>X34*'Wskazniki emisji paliw'!M$27</f>
        <v>0</v>
      </c>
      <c r="AB34" s="129"/>
      <c r="AC34" s="204"/>
      <c r="AD34" s="575">
        <f>AB34*'Wskazniki emisji paliw'!H$17</f>
        <v>0</v>
      </c>
      <c r="AE34" s="131">
        <f>AB34*'Wskazniki emisji paliw'!L$17</f>
        <v>0</v>
      </c>
      <c r="AF34" s="129"/>
      <c r="AG34" s="204"/>
      <c r="AH34" s="575">
        <f>AF34*'Wskazniki emisji paliw'!H$18</f>
        <v>0</v>
      </c>
      <c r="AI34" s="131">
        <f>AF34*'Wskazniki emisji paliw'!L$18</f>
        <v>0</v>
      </c>
      <c r="AJ34" s="129"/>
      <c r="AK34" s="204"/>
      <c r="AL34" s="575">
        <f>AJ34*'Wskazniki emisji paliw'!H$10</f>
        <v>0</v>
      </c>
      <c r="AM34" s="131">
        <f>AJ34*'Wskazniki emisji paliw'!N$10</f>
        <v>0</v>
      </c>
      <c r="AN34" s="129"/>
      <c r="AO34" s="204"/>
      <c r="AP34" s="575">
        <f>AN34*'Wskazniki emisji paliw'!H$11</f>
        <v>0</v>
      </c>
      <c r="AQ34" s="131">
        <f>AN34*'Wskazniki emisji paliw'!N$11</f>
        <v>0</v>
      </c>
      <c r="AR34" s="129"/>
      <c r="AS34" s="204"/>
      <c r="AT34" s="575">
        <f>AR34*'Wskazniki emisji paliw'!N$12</f>
        <v>0</v>
      </c>
      <c r="AU34" s="131">
        <f>AR34*'Wskazniki emisji paliw'!N$12</f>
        <v>0</v>
      </c>
      <c r="AV34" s="129"/>
      <c r="AW34" s="204"/>
      <c r="AX34" s="575">
        <f>AV34*'Wskazniki emisji paliw'!H$12</f>
        <v>0</v>
      </c>
      <c r="AY34" s="131"/>
      <c r="AZ34" s="610"/>
      <c r="BA34" s="53"/>
      <c r="BB34" s="53"/>
      <c r="BC34" s="53"/>
      <c r="BD34" s="53"/>
      <c r="BE34" s="53"/>
    </row>
    <row r="35" spans="1:57" s="3" customFormat="1">
      <c r="A35" s="5"/>
      <c r="B35" s="202"/>
      <c r="C35" s="611"/>
      <c r="D35" s="607"/>
      <c r="E35" s="607"/>
      <c r="F35" s="572"/>
      <c r="G35" s="608"/>
      <c r="H35" s="573"/>
      <c r="I35" s="573"/>
      <c r="J35" s="574">
        <f t="shared" si="8"/>
        <v>0</v>
      </c>
      <c r="K35" s="575">
        <f t="shared" si="9"/>
        <v>0</v>
      </c>
      <c r="L35" s="576"/>
      <c r="M35" s="53"/>
      <c r="N35" s="577">
        <f t="shared" si="10"/>
        <v>0</v>
      </c>
      <c r="O35" s="578">
        <f t="shared" si="11"/>
        <v>0</v>
      </c>
      <c r="P35" s="579">
        <f t="shared" si="12"/>
        <v>0</v>
      </c>
      <c r="Q35" s="575">
        <f t="shared" si="13"/>
        <v>0</v>
      </c>
      <c r="R35" s="609">
        <f t="shared" si="14"/>
        <v>0</v>
      </c>
      <c r="S35" s="53"/>
      <c r="T35" s="129"/>
      <c r="U35" s="204"/>
      <c r="V35" s="575">
        <f>T35*'Wskazniki emisji paliw'!H$26</f>
        <v>0</v>
      </c>
      <c r="W35" s="131">
        <f>T35*'Wskazniki emisji paliw'!M$26</f>
        <v>0</v>
      </c>
      <c r="X35" s="129"/>
      <c r="Y35" s="204"/>
      <c r="Z35" s="575">
        <f>X35*'Wskazniki emisji paliw'!H$27</f>
        <v>0</v>
      </c>
      <c r="AA35" s="131">
        <f>X35*'Wskazniki emisji paliw'!M$27</f>
        <v>0</v>
      </c>
      <c r="AB35" s="129"/>
      <c r="AC35" s="204"/>
      <c r="AD35" s="575">
        <f>AB35*'Wskazniki emisji paliw'!H$17</f>
        <v>0</v>
      </c>
      <c r="AE35" s="131">
        <f>AB35*'Wskazniki emisji paliw'!L$17</f>
        <v>0</v>
      </c>
      <c r="AF35" s="129"/>
      <c r="AG35" s="204"/>
      <c r="AH35" s="575">
        <f>AF35*'Wskazniki emisji paliw'!H$18</f>
        <v>0</v>
      </c>
      <c r="AI35" s="131">
        <f>AF35*'Wskazniki emisji paliw'!L$18</f>
        <v>0</v>
      </c>
      <c r="AJ35" s="129"/>
      <c r="AK35" s="204"/>
      <c r="AL35" s="575">
        <f>AJ35*'Wskazniki emisji paliw'!H$10</f>
        <v>0</v>
      </c>
      <c r="AM35" s="131">
        <f>AJ35*'Wskazniki emisji paliw'!N$10</f>
        <v>0</v>
      </c>
      <c r="AN35" s="129"/>
      <c r="AO35" s="204"/>
      <c r="AP35" s="575">
        <f>AN35*'Wskazniki emisji paliw'!H$11</f>
        <v>0</v>
      </c>
      <c r="AQ35" s="131">
        <f>AN35*'Wskazniki emisji paliw'!N$11</f>
        <v>0</v>
      </c>
      <c r="AR35" s="129"/>
      <c r="AS35" s="204"/>
      <c r="AT35" s="575">
        <f>AR35*'Wskazniki emisji paliw'!N$12</f>
        <v>0</v>
      </c>
      <c r="AU35" s="131">
        <f>AR35*'Wskazniki emisji paliw'!N$12</f>
        <v>0</v>
      </c>
      <c r="AV35" s="129"/>
      <c r="AW35" s="204"/>
      <c r="AX35" s="575">
        <f>AV35*'Wskazniki emisji paliw'!H$12</f>
        <v>0</v>
      </c>
      <c r="AY35" s="131"/>
      <c r="AZ35" s="610"/>
      <c r="BA35" s="53"/>
      <c r="BB35" s="53"/>
      <c r="BC35" s="53"/>
      <c r="BD35" s="53"/>
      <c r="BE35" s="53"/>
    </row>
    <row r="36" spans="1:57" s="3" customFormat="1">
      <c r="A36" s="5"/>
      <c r="B36" s="202"/>
      <c r="C36" s="611"/>
      <c r="D36" s="607"/>
      <c r="E36" s="607"/>
      <c r="F36" s="572"/>
      <c r="G36" s="608"/>
      <c r="H36" s="573"/>
      <c r="I36" s="573"/>
      <c r="J36" s="574">
        <f t="shared" si="8"/>
        <v>0</v>
      </c>
      <c r="K36" s="575">
        <f t="shared" si="9"/>
        <v>0</v>
      </c>
      <c r="L36" s="576"/>
      <c r="M36" s="53"/>
      <c r="N36" s="577">
        <f t="shared" si="10"/>
        <v>0</v>
      </c>
      <c r="O36" s="578">
        <f t="shared" si="11"/>
        <v>0</v>
      </c>
      <c r="P36" s="579">
        <f t="shared" si="12"/>
        <v>0</v>
      </c>
      <c r="Q36" s="575">
        <f t="shared" si="13"/>
        <v>0</v>
      </c>
      <c r="R36" s="609">
        <f t="shared" si="14"/>
        <v>0</v>
      </c>
      <c r="S36" s="53"/>
      <c r="T36" s="129"/>
      <c r="U36" s="204"/>
      <c r="V36" s="575">
        <f>T36*'Wskazniki emisji paliw'!H$26</f>
        <v>0</v>
      </c>
      <c r="W36" s="131">
        <f>T36*'Wskazniki emisji paliw'!M$26</f>
        <v>0</v>
      </c>
      <c r="X36" s="129"/>
      <c r="Y36" s="204"/>
      <c r="Z36" s="575">
        <f>X36*'Wskazniki emisji paliw'!H$27</f>
        <v>0</v>
      </c>
      <c r="AA36" s="131">
        <f>X36*'Wskazniki emisji paliw'!M$27</f>
        <v>0</v>
      </c>
      <c r="AB36" s="129"/>
      <c r="AC36" s="204"/>
      <c r="AD36" s="575">
        <f>AB36*'Wskazniki emisji paliw'!H$17</f>
        <v>0</v>
      </c>
      <c r="AE36" s="131">
        <f>AB36*'Wskazniki emisji paliw'!L$17</f>
        <v>0</v>
      </c>
      <c r="AF36" s="129"/>
      <c r="AG36" s="204"/>
      <c r="AH36" s="575">
        <f>AF36*'Wskazniki emisji paliw'!H$18</f>
        <v>0</v>
      </c>
      <c r="AI36" s="131">
        <f>AF36*'Wskazniki emisji paliw'!L$18</f>
        <v>0</v>
      </c>
      <c r="AJ36" s="129"/>
      <c r="AK36" s="204"/>
      <c r="AL36" s="575">
        <f>AJ36*'Wskazniki emisji paliw'!H$10</f>
        <v>0</v>
      </c>
      <c r="AM36" s="131">
        <f>AJ36*'Wskazniki emisji paliw'!N$10</f>
        <v>0</v>
      </c>
      <c r="AN36" s="129"/>
      <c r="AO36" s="204"/>
      <c r="AP36" s="575">
        <f>AN36*'Wskazniki emisji paliw'!H$11</f>
        <v>0</v>
      </c>
      <c r="AQ36" s="131">
        <f>AN36*'Wskazniki emisji paliw'!N$11</f>
        <v>0</v>
      </c>
      <c r="AR36" s="129"/>
      <c r="AS36" s="204"/>
      <c r="AT36" s="575">
        <f>AR36*'Wskazniki emisji paliw'!N$12</f>
        <v>0</v>
      </c>
      <c r="AU36" s="131">
        <f>AR36*'Wskazniki emisji paliw'!N$12</f>
        <v>0</v>
      </c>
      <c r="AV36" s="129"/>
      <c r="AW36" s="204"/>
      <c r="AX36" s="575">
        <f>AV36*'Wskazniki emisji paliw'!H$12</f>
        <v>0</v>
      </c>
      <c r="AY36" s="131"/>
      <c r="AZ36" s="610"/>
      <c r="BA36" s="53"/>
      <c r="BB36" s="53"/>
      <c r="BC36" s="53"/>
      <c r="BD36" s="53"/>
      <c r="BE36" s="53"/>
    </row>
    <row r="37" spans="1:57" s="3" customFormat="1">
      <c r="A37" s="5"/>
      <c r="B37" s="202"/>
      <c r="C37" s="611"/>
      <c r="D37" s="607"/>
      <c r="E37" s="607"/>
      <c r="F37" s="572"/>
      <c r="G37" s="608"/>
      <c r="H37" s="573"/>
      <c r="I37" s="573"/>
      <c r="J37" s="574">
        <f t="shared" si="8"/>
        <v>0</v>
      </c>
      <c r="K37" s="575">
        <f t="shared" si="9"/>
        <v>0</v>
      </c>
      <c r="L37" s="576"/>
      <c r="M37" s="53"/>
      <c r="N37" s="577">
        <f t="shared" si="10"/>
        <v>0</v>
      </c>
      <c r="O37" s="578">
        <f t="shared" si="11"/>
        <v>0</v>
      </c>
      <c r="P37" s="579">
        <f t="shared" si="12"/>
        <v>0</v>
      </c>
      <c r="Q37" s="575">
        <f t="shared" si="13"/>
        <v>0</v>
      </c>
      <c r="R37" s="609">
        <f t="shared" si="14"/>
        <v>0</v>
      </c>
      <c r="S37" s="53"/>
      <c r="T37" s="129"/>
      <c r="U37" s="204"/>
      <c r="V37" s="575">
        <f>T37*'Wskazniki emisji paliw'!H$26</f>
        <v>0</v>
      </c>
      <c r="W37" s="131">
        <f>T37*'Wskazniki emisji paliw'!M$26</f>
        <v>0</v>
      </c>
      <c r="X37" s="129"/>
      <c r="Y37" s="204"/>
      <c r="Z37" s="575">
        <f>X37*'Wskazniki emisji paliw'!H$27</f>
        <v>0</v>
      </c>
      <c r="AA37" s="131">
        <f>X37*'Wskazniki emisji paliw'!M$27</f>
        <v>0</v>
      </c>
      <c r="AB37" s="129"/>
      <c r="AC37" s="204"/>
      <c r="AD37" s="575">
        <f>AB37*'Wskazniki emisji paliw'!H$17</f>
        <v>0</v>
      </c>
      <c r="AE37" s="131">
        <f>AB37*'Wskazniki emisji paliw'!L$17</f>
        <v>0</v>
      </c>
      <c r="AF37" s="129"/>
      <c r="AG37" s="204"/>
      <c r="AH37" s="575">
        <f>AF37*'Wskazniki emisji paliw'!H$18</f>
        <v>0</v>
      </c>
      <c r="AI37" s="131">
        <f>AF37*'Wskazniki emisji paliw'!L$18</f>
        <v>0</v>
      </c>
      <c r="AJ37" s="129"/>
      <c r="AK37" s="204"/>
      <c r="AL37" s="575">
        <f>AJ37*'Wskazniki emisji paliw'!H$10</f>
        <v>0</v>
      </c>
      <c r="AM37" s="131">
        <f>AJ37*'Wskazniki emisji paliw'!N$10</f>
        <v>0</v>
      </c>
      <c r="AN37" s="129"/>
      <c r="AO37" s="204"/>
      <c r="AP37" s="575">
        <f>AN37*'Wskazniki emisji paliw'!H$11</f>
        <v>0</v>
      </c>
      <c r="AQ37" s="131">
        <f>AN37*'Wskazniki emisji paliw'!N$11</f>
        <v>0</v>
      </c>
      <c r="AR37" s="129"/>
      <c r="AS37" s="204"/>
      <c r="AT37" s="575">
        <f>AR37*'Wskazniki emisji paliw'!N$12</f>
        <v>0</v>
      </c>
      <c r="AU37" s="131">
        <f>AR37*'Wskazniki emisji paliw'!N$12</f>
        <v>0</v>
      </c>
      <c r="AV37" s="129"/>
      <c r="AW37" s="204"/>
      <c r="AX37" s="575">
        <f>AV37*'Wskazniki emisji paliw'!H$12</f>
        <v>0</v>
      </c>
      <c r="AY37" s="131"/>
      <c r="AZ37" s="610"/>
      <c r="BA37" s="53"/>
      <c r="BB37" s="53"/>
      <c r="BC37" s="53"/>
      <c r="BD37" s="53"/>
      <c r="BE37" s="53"/>
    </row>
    <row r="38" spans="1:57" s="3" customFormat="1">
      <c r="A38" s="5"/>
      <c r="B38" s="209"/>
      <c r="C38" s="210"/>
      <c r="D38" s="612"/>
      <c r="E38" s="613"/>
      <c r="F38" s="572"/>
      <c r="G38" s="608"/>
      <c r="H38" s="573"/>
      <c r="I38" s="573"/>
      <c r="J38" s="574">
        <f t="shared" si="8"/>
        <v>0</v>
      </c>
      <c r="K38" s="575">
        <f t="shared" si="9"/>
        <v>0</v>
      </c>
      <c r="L38" s="576"/>
      <c r="M38" s="53"/>
      <c r="N38" s="577">
        <f t="shared" si="10"/>
        <v>0</v>
      </c>
      <c r="O38" s="578">
        <f t="shared" si="11"/>
        <v>0</v>
      </c>
      <c r="P38" s="579">
        <f t="shared" si="12"/>
        <v>0</v>
      </c>
      <c r="Q38" s="575">
        <f t="shared" si="13"/>
        <v>0</v>
      </c>
      <c r="R38" s="609">
        <f t="shared" si="14"/>
        <v>0</v>
      </c>
      <c r="S38" s="53"/>
      <c r="T38" s="129"/>
      <c r="U38" s="204"/>
      <c r="V38" s="575">
        <f>T38*'Wskazniki emisji paliw'!H$26</f>
        <v>0</v>
      </c>
      <c r="W38" s="131">
        <f>T38*'Wskazniki emisji paliw'!M$26</f>
        <v>0</v>
      </c>
      <c r="X38" s="129"/>
      <c r="Y38" s="204"/>
      <c r="Z38" s="575">
        <f>X38*'Wskazniki emisji paliw'!H$27</f>
        <v>0</v>
      </c>
      <c r="AA38" s="131">
        <f>X38*'Wskazniki emisji paliw'!M$27</f>
        <v>0</v>
      </c>
      <c r="AB38" s="129"/>
      <c r="AC38" s="204"/>
      <c r="AD38" s="575">
        <f>AB38*'Wskazniki emisji paliw'!H$17</f>
        <v>0</v>
      </c>
      <c r="AE38" s="131">
        <f>AB38*'Wskazniki emisji paliw'!L$17</f>
        <v>0</v>
      </c>
      <c r="AF38" s="129"/>
      <c r="AG38" s="204"/>
      <c r="AH38" s="575">
        <f>AF38*'Wskazniki emisji paliw'!H$18</f>
        <v>0</v>
      </c>
      <c r="AI38" s="131">
        <f>AF38*'Wskazniki emisji paliw'!L$18</f>
        <v>0</v>
      </c>
      <c r="AJ38" s="129"/>
      <c r="AK38" s="204"/>
      <c r="AL38" s="575">
        <f>AJ38*'Wskazniki emisji paliw'!H$10</f>
        <v>0</v>
      </c>
      <c r="AM38" s="131">
        <f>AJ38*'Wskazniki emisji paliw'!N$10</f>
        <v>0</v>
      </c>
      <c r="AN38" s="129"/>
      <c r="AO38" s="204"/>
      <c r="AP38" s="575">
        <f>AN38*'Wskazniki emisji paliw'!H$11</f>
        <v>0</v>
      </c>
      <c r="AQ38" s="131">
        <f>AN38*'Wskazniki emisji paliw'!N$11</f>
        <v>0</v>
      </c>
      <c r="AR38" s="129"/>
      <c r="AS38" s="204"/>
      <c r="AT38" s="575">
        <f>AR38*'Wskazniki emisji paliw'!N$12</f>
        <v>0</v>
      </c>
      <c r="AU38" s="131">
        <f>AR38*'Wskazniki emisji paliw'!N$12</f>
        <v>0</v>
      </c>
      <c r="AV38" s="129"/>
      <c r="AW38" s="204"/>
      <c r="AX38" s="575">
        <f>AV38*'Wskazniki emisji paliw'!H$12</f>
        <v>0</v>
      </c>
      <c r="AY38" s="131"/>
      <c r="AZ38" s="610"/>
      <c r="BA38" s="53"/>
      <c r="BB38" s="53"/>
      <c r="BC38" s="53"/>
      <c r="BD38" s="53"/>
      <c r="BE38" s="53"/>
    </row>
    <row r="39" spans="1:57" s="3" customFormat="1">
      <c r="A39" s="5"/>
      <c r="B39" s="582" t="s">
        <v>441</v>
      </c>
      <c r="C39" s="212"/>
      <c r="D39" s="614"/>
      <c r="E39" s="615"/>
      <c r="F39" s="572"/>
      <c r="G39" s="616"/>
      <c r="H39" s="584"/>
      <c r="I39" s="584"/>
      <c r="J39" s="574">
        <f t="shared" si="8"/>
        <v>0</v>
      </c>
      <c r="K39" s="575">
        <f t="shared" si="9"/>
        <v>0</v>
      </c>
      <c r="L39" s="576"/>
      <c r="M39" s="53"/>
      <c r="N39" s="577">
        <f t="shared" si="10"/>
        <v>0</v>
      </c>
      <c r="O39" s="578">
        <f t="shared" si="11"/>
        <v>0</v>
      </c>
      <c r="P39" s="579">
        <f t="shared" si="12"/>
        <v>0</v>
      </c>
      <c r="Q39" s="617">
        <f t="shared" si="13"/>
        <v>0</v>
      </c>
      <c r="R39" s="609">
        <f t="shared" si="14"/>
        <v>0</v>
      </c>
      <c r="S39" s="53"/>
      <c r="T39" s="129"/>
      <c r="U39" s="204"/>
      <c r="V39" s="575">
        <f>T39*'Wskazniki emisji paliw'!H$26</f>
        <v>0</v>
      </c>
      <c r="W39" s="131">
        <f>T39*'Wskazniki emisji paliw'!M$26</f>
        <v>0</v>
      </c>
      <c r="X39" s="129"/>
      <c r="Y39" s="204"/>
      <c r="Z39" s="575">
        <f>X39*'Wskazniki emisji paliw'!H$27</f>
        <v>0</v>
      </c>
      <c r="AA39" s="131">
        <f>X39*'Wskazniki emisji paliw'!M$27</f>
        <v>0</v>
      </c>
      <c r="AB39" s="129"/>
      <c r="AC39" s="204"/>
      <c r="AD39" s="575">
        <f>AB39*'Wskazniki emisji paliw'!H$17</f>
        <v>0</v>
      </c>
      <c r="AE39" s="131">
        <f>AB39*'Wskazniki emisji paliw'!L$17</f>
        <v>0</v>
      </c>
      <c r="AF39" s="129"/>
      <c r="AG39" s="204"/>
      <c r="AH39" s="575">
        <f>AF39*'Wskazniki emisji paliw'!H$18</f>
        <v>0</v>
      </c>
      <c r="AI39" s="131">
        <f>AF39*'Wskazniki emisji paliw'!L$18</f>
        <v>0</v>
      </c>
      <c r="AJ39" s="129"/>
      <c r="AK39" s="204"/>
      <c r="AL39" s="575">
        <f>AJ39*'Wskazniki emisji paliw'!H$10</f>
        <v>0</v>
      </c>
      <c r="AM39" s="131">
        <f>AJ39*'Wskazniki emisji paliw'!N$10</f>
        <v>0</v>
      </c>
      <c r="AN39" s="129"/>
      <c r="AO39" s="204"/>
      <c r="AP39" s="575">
        <f>AN39*'Wskazniki emisji paliw'!H$11</f>
        <v>0</v>
      </c>
      <c r="AQ39" s="131">
        <f>AN39*'Wskazniki emisji paliw'!N$11</f>
        <v>0</v>
      </c>
      <c r="AR39" s="129"/>
      <c r="AS39" s="204"/>
      <c r="AT39" s="575">
        <f>AR39*'Wskazniki emisji paliw'!N$12</f>
        <v>0</v>
      </c>
      <c r="AU39" s="131">
        <f>AR39*'Wskazniki emisji paliw'!N$12</f>
        <v>0</v>
      </c>
      <c r="AV39" s="129"/>
      <c r="AW39" s="204"/>
      <c r="AX39" s="575">
        <f>AV39*'Wskazniki emisji paliw'!H$12</f>
        <v>0</v>
      </c>
      <c r="AY39" s="131"/>
      <c r="AZ39" s="610"/>
      <c r="BA39" s="53"/>
      <c r="BB39" s="53"/>
      <c r="BC39" s="53"/>
      <c r="BD39" s="53"/>
      <c r="BE39" s="53"/>
    </row>
    <row r="40" spans="1:57" s="186" customFormat="1">
      <c r="A40" s="185"/>
      <c r="B40" s="585" t="s">
        <v>440</v>
      </c>
      <c r="C40" s="586"/>
      <c r="D40" s="586"/>
      <c r="E40" s="586"/>
      <c r="F40" s="586"/>
      <c r="G40" s="618">
        <f>SUM(G31:G39)</f>
        <v>0</v>
      </c>
      <c r="H40" s="619">
        <f>SUM(H31:H39)</f>
        <v>0</v>
      </c>
      <c r="I40" s="619">
        <f>SUM(I31:I39)</f>
        <v>0</v>
      </c>
      <c r="J40" s="587">
        <f>SUM(J31:J39)</f>
        <v>84325.278347658576</v>
      </c>
      <c r="K40" s="182">
        <f>SUM(K31:K39)</f>
        <v>238544.214185669</v>
      </c>
      <c r="L40" s="589"/>
      <c r="M40" s="145"/>
      <c r="N40" s="587">
        <f>SUM(N31:N39)</f>
        <v>0</v>
      </c>
      <c r="O40" s="589">
        <f>SUM(O31:O39)</f>
        <v>0</v>
      </c>
      <c r="P40" s="589">
        <f>SUM(P31:P39)</f>
        <v>33732.818898114492</v>
      </c>
      <c r="Q40" s="587">
        <f>SUM(Q31:Q39)</f>
        <v>95421.428417659306</v>
      </c>
      <c r="R40" s="589">
        <f>SUM(R31:R39)</f>
        <v>0</v>
      </c>
      <c r="S40" s="145"/>
      <c r="T40" s="182">
        <f t="shared" ref="T40:AY40" si="15">SUM(T31:T39)</f>
        <v>933345</v>
      </c>
      <c r="U40" s="182">
        <f t="shared" si="15"/>
        <v>0</v>
      </c>
      <c r="V40" s="182">
        <f t="shared" si="15"/>
        <v>9356.8584792689999</v>
      </c>
      <c r="W40" s="182">
        <f t="shared" si="15"/>
        <v>6768.8976276585799</v>
      </c>
      <c r="X40" s="182">
        <f t="shared" si="15"/>
        <v>0</v>
      </c>
      <c r="Y40" s="182">
        <f t="shared" si="15"/>
        <v>0</v>
      </c>
      <c r="Z40" s="182">
        <f t="shared" si="15"/>
        <v>0</v>
      </c>
      <c r="AA40" s="182">
        <f t="shared" si="15"/>
        <v>0</v>
      </c>
      <c r="AB40" s="182">
        <f t="shared" si="15"/>
        <v>0</v>
      </c>
      <c r="AC40" s="182">
        <f t="shared" si="15"/>
        <v>0</v>
      </c>
      <c r="AD40" s="182">
        <f t="shared" si="15"/>
        <v>0</v>
      </c>
      <c r="AE40" s="182">
        <f t="shared" si="15"/>
        <v>0</v>
      </c>
      <c r="AF40" s="182">
        <f t="shared" si="15"/>
        <v>0</v>
      </c>
      <c r="AG40" s="182">
        <f t="shared" si="15"/>
        <v>0</v>
      </c>
      <c r="AH40" s="182">
        <f t="shared" si="15"/>
        <v>0</v>
      </c>
      <c r="AI40" s="182">
        <f t="shared" si="15"/>
        <v>0</v>
      </c>
      <c r="AJ40" s="182">
        <f t="shared" si="15"/>
        <v>32381</v>
      </c>
      <c r="AK40" s="182">
        <f t="shared" si="15"/>
        <v>0</v>
      </c>
      <c r="AL40" s="182">
        <f t="shared" si="15"/>
        <v>229187.35570640001</v>
      </c>
      <c r="AM40" s="182">
        <f t="shared" si="15"/>
        <v>77556.380719999986</v>
      </c>
      <c r="AN40" s="182">
        <f t="shared" si="15"/>
        <v>0</v>
      </c>
      <c r="AO40" s="182">
        <f t="shared" si="15"/>
        <v>0</v>
      </c>
      <c r="AP40" s="182">
        <f t="shared" si="15"/>
        <v>0</v>
      </c>
      <c r="AQ40" s="182">
        <f t="shared" si="15"/>
        <v>0</v>
      </c>
      <c r="AR40" s="182">
        <f t="shared" si="15"/>
        <v>0</v>
      </c>
      <c r="AS40" s="182">
        <f t="shared" si="15"/>
        <v>0</v>
      </c>
      <c r="AT40" s="182">
        <f t="shared" si="15"/>
        <v>0</v>
      </c>
      <c r="AU40" s="182">
        <f t="shared" si="15"/>
        <v>0</v>
      </c>
      <c r="AV40" s="182">
        <f t="shared" si="15"/>
        <v>0</v>
      </c>
      <c r="AW40" s="182">
        <f t="shared" si="15"/>
        <v>0</v>
      </c>
      <c r="AX40" s="182">
        <f t="shared" si="15"/>
        <v>0</v>
      </c>
      <c r="AY40" s="182">
        <f t="shared" si="15"/>
        <v>0</v>
      </c>
      <c r="AZ40" s="610"/>
      <c r="BA40" s="145"/>
    </row>
    <row r="41" spans="1:57">
      <c r="A41" s="146"/>
      <c r="B41" s="145"/>
      <c r="C41" s="145"/>
      <c r="D41" s="145"/>
      <c r="E41" s="145"/>
      <c r="F41" s="145"/>
      <c r="G41" s="145"/>
      <c r="H41" s="145"/>
      <c r="I41" s="145"/>
      <c r="J41" s="853" t="s">
        <v>621</v>
      </c>
      <c r="K41" s="853" t="s">
        <v>621</v>
      </c>
      <c r="L41" s="145"/>
      <c r="M41" s="145"/>
      <c r="N41" s="145"/>
      <c r="O41" s="145"/>
      <c r="P41" s="853" t="s">
        <v>631</v>
      </c>
      <c r="Q41" s="853" t="s">
        <v>631</v>
      </c>
      <c r="R41" s="145"/>
      <c r="S41" s="145"/>
      <c r="T41" s="145"/>
      <c r="U41" s="145"/>
      <c r="V41" s="145"/>
      <c r="W41" s="145"/>
      <c r="X41" s="145"/>
      <c r="Y41" s="145"/>
      <c r="Z41" s="145"/>
      <c r="AA41" s="145"/>
      <c r="AB41" s="145"/>
      <c r="AC41" s="146"/>
      <c r="AD41" s="146"/>
      <c r="AE41" s="146"/>
      <c r="AF41" s="146"/>
      <c r="AG41" s="146"/>
      <c r="AH41" s="146"/>
      <c r="AI41" s="146"/>
      <c r="AJ41" s="146"/>
      <c r="AK41" s="146"/>
      <c r="AL41" s="146"/>
      <c r="AM41" s="146"/>
      <c r="AN41" s="146"/>
      <c r="AO41" s="146"/>
      <c r="AP41" s="146"/>
      <c r="AQ41" s="146"/>
    </row>
    <row r="42" spans="1:57" s="186" customFormat="1">
      <c r="A42" s="185"/>
      <c r="B42" s="145"/>
      <c r="C42" s="145"/>
      <c r="D42" s="591"/>
      <c r="E42" s="592"/>
      <c r="F42" s="592"/>
      <c r="G42" s="593"/>
      <c r="H42" s="593"/>
      <c r="I42" s="594" t="s">
        <v>622</v>
      </c>
      <c r="J42" s="595">
        <f>G40+H40+I40</f>
        <v>0</v>
      </c>
      <c r="K42" s="145"/>
      <c r="L42" s="591"/>
      <c r="M42" s="592"/>
      <c r="N42" s="592"/>
      <c r="O42" s="593"/>
      <c r="P42" s="593"/>
      <c r="Q42" s="594" t="s">
        <v>643</v>
      </c>
      <c r="R42" s="595">
        <f>N40+O40</f>
        <v>0</v>
      </c>
      <c r="S42" s="145"/>
      <c r="T42"/>
      <c r="U42"/>
      <c r="V42"/>
      <c r="W42"/>
      <c r="X42"/>
      <c r="Y42"/>
      <c r="Z42"/>
      <c r="AA42"/>
      <c r="AB42"/>
      <c r="AC42"/>
      <c r="AD42"/>
      <c r="AE42"/>
      <c r="AF42"/>
      <c r="AG42"/>
      <c r="AH42"/>
      <c r="AI42"/>
      <c r="AJ42" s="145"/>
      <c r="AK42" s="145"/>
      <c r="AL42" s="145"/>
      <c r="AM42" s="145"/>
      <c r="AN42" s="145"/>
      <c r="AO42" s="145"/>
      <c r="AP42" s="145"/>
      <c r="AQ42" s="145"/>
      <c r="AR42" s="145"/>
    </row>
    <row r="43" spans="1:57" s="186" customFormat="1">
      <c r="A43" s="185"/>
      <c r="B43" s="145"/>
      <c r="C43" s="145"/>
      <c r="D43" s="157"/>
      <c r="E43" s="158"/>
      <c r="F43" s="158"/>
      <c r="G43" s="596"/>
      <c r="H43" s="596"/>
      <c r="I43" s="597" t="s">
        <v>624</v>
      </c>
      <c r="J43" s="598">
        <f>IFERROR(J40/J42,0)</f>
        <v>0</v>
      </c>
      <c r="K43" s="145"/>
      <c r="L43" s="591"/>
      <c r="M43" s="592"/>
      <c r="N43" s="592"/>
      <c r="O43" s="593"/>
      <c r="P43" s="593"/>
      <c r="Q43" s="599" t="s">
        <v>644</v>
      </c>
      <c r="R43" s="600">
        <f>IFERROR(P40/J40,0)</f>
        <v>0.40003210851009469</v>
      </c>
      <c r="S43" s="145"/>
      <c r="T43"/>
      <c r="U43"/>
      <c r="V43"/>
      <c r="W43"/>
      <c r="X43"/>
      <c r="Y43"/>
      <c r="Z43"/>
      <c r="AA43"/>
      <c r="AB43"/>
      <c r="AC43"/>
      <c r="AD43"/>
      <c r="AE43"/>
      <c r="AF43"/>
      <c r="AG43"/>
      <c r="AH43"/>
      <c r="AI43"/>
      <c r="AJ43" s="145"/>
      <c r="AK43" s="145"/>
      <c r="AL43" s="145"/>
      <c r="AM43" s="145"/>
      <c r="AN43" s="145"/>
      <c r="AO43" s="145"/>
      <c r="AP43" s="145"/>
      <c r="AQ43" s="145"/>
      <c r="AR43" s="145"/>
    </row>
    <row r="44" spans="1:57">
      <c r="A44" s="146"/>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6"/>
      <c r="AD44" s="146"/>
      <c r="AE44" s="146"/>
      <c r="AF44" s="146"/>
      <c r="AG44" s="146"/>
      <c r="AH44" s="146"/>
      <c r="AI44" s="146"/>
      <c r="AJ44" s="146"/>
      <c r="AK44" s="146"/>
      <c r="AL44" s="146"/>
      <c r="AM44" s="146"/>
      <c r="AN44" s="146"/>
      <c r="AO44" s="146"/>
      <c r="AP44" s="146"/>
      <c r="AQ44" s="146"/>
    </row>
    <row r="45" spans="1:57">
      <c r="A45" s="146"/>
      <c r="B45" s="146"/>
      <c r="C45" s="146"/>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7"/>
      <c r="AO45" s="147"/>
      <c r="AP45" s="146"/>
      <c r="AQ45" s="146"/>
    </row>
    <row r="46" spans="1:57">
      <c r="A46" s="146"/>
      <c r="B46" s="187" t="s">
        <v>490</v>
      </c>
      <c r="C46" s="146"/>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7"/>
      <c r="AO46" s="147"/>
      <c r="AP46" s="146"/>
      <c r="AQ46" s="146"/>
    </row>
    <row r="47" spans="1:57" ht="13.35" customHeight="1">
      <c r="A47" s="146"/>
      <c r="B47" s="620">
        <v>1</v>
      </c>
      <c r="C47" s="995" t="s">
        <v>651</v>
      </c>
      <c r="D47" s="995"/>
      <c r="E47" s="995"/>
      <c r="F47" s="995"/>
      <c r="G47" s="995"/>
      <c r="H47" s="995"/>
      <c r="I47" s="995"/>
      <c r="J47" s="995"/>
      <c r="K47" s="995"/>
      <c r="L47" s="995"/>
      <c r="M47" s="145"/>
      <c r="N47" s="145"/>
      <c r="O47" s="145"/>
      <c r="P47" s="145"/>
      <c r="Q47" s="145"/>
      <c r="R47" s="145"/>
      <c r="S47" s="145"/>
      <c r="T47" s="145"/>
      <c r="U47" s="145"/>
      <c r="V47" s="145"/>
      <c r="W47" s="145"/>
      <c r="X47" s="145"/>
      <c r="Y47" s="190"/>
      <c r="Z47" s="190"/>
      <c r="AA47" s="190"/>
      <c r="AB47" s="190"/>
      <c r="AC47" s="190"/>
      <c r="AD47" s="190"/>
      <c r="AE47" s="146"/>
      <c r="AF47" s="147"/>
      <c r="AG47" s="146"/>
      <c r="AH47" s="146"/>
      <c r="AI47" s="146"/>
      <c r="AJ47" s="146"/>
      <c r="AK47" s="146"/>
      <c r="AL47" s="147"/>
      <c r="AM47" s="146"/>
      <c r="AN47" s="146"/>
      <c r="AO47" s="146"/>
    </row>
    <row r="48" spans="1:57" ht="15" customHeight="1">
      <c r="A48" s="146"/>
      <c r="B48" s="620">
        <v>2</v>
      </c>
      <c r="C48" s="995" t="s">
        <v>652</v>
      </c>
      <c r="D48" s="995"/>
      <c r="E48" s="995"/>
      <c r="F48" s="995"/>
      <c r="G48" s="995"/>
      <c r="H48" s="995"/>
      <c r="I48" s="995"/>
      <c r="J48" s="995"/>
      <c r="K48" s="995"/>
      <c r="L48" s="995"/>
      <c r="M48" s="145"/>
      <c r="N48" s="145"/>
      <c r="O48" s="145"/>
      <c r="P48" s="145"/>
      <c r="Q48" s="145"/>
      <c r="R48" s="145"/>
      <c r="S48" s="145"/>
      <c r="T48" s="145"/>
      <c r="U48" s="145"/>
      <c r="V48" s="145"/>
      <c r="W48" s="145"/>
      <c r="X48" s="145"/>
      <c r="Y48" s="190"/>
      <c r="Z48" s="190"/>
      <c r="AA48" s="190"/>
      <c r="AB48" s="190"/>
      <c r="AC48" s="190"/>
      <c r="AD48" s="190"/>
      <c r="AE48" s="146"/>
      <c r="AF48" s="147"/>
      <c r="AG48" s="146"/>
      <c r="AH48" s="146"/>
      <c r="AI48" s="146"/>
      <c r="AJ48" s="146"/>
      <c r="AK48" s="146"/>
      <c r="AL48" s="147"/>
      <c r="AM48" s="146"/>
      <c r="AN48" s="146"/>
      <c r="AO48" s="146"/>
    </row>
    <row r="49" spans="1:41" ht="13.35" customHeight="1">
      <c r="A49" s="146"/>
      <c r="B49" s="620">
        <v>3</v>
      </c>
      <c r="C49" s="993" t="s">
        <v>653</v>
      </c>
      <c r="D49" s="993"/>
      <c r="E49" s="993"/>
      <c r="F49" s="993"/>
      <c r="G49" s="993"/>
      <c r="H49" s="993"/>
      <c r="I49" s="993"/>
      <c r="J49" s="993"/>
      <c r="K49" s="993"/>
      <c r="L49" s="993"/>
      <c r="M49" s="145"/>
      <c r="N49" s="145"/>
      <c r="O49" s="145"/>
      <c r="P49" s="145"/>
      <c r="Q49" s="145"/>
      <c r="R49" s="145"/>
      <c r="S49" s="145"/>
      <c r="T49" s="145"/>
      <c r="U49" s="145"/>
      <c r="V49" s="145"/>
      <c r="W49" s="145"/>
      <c r="X49" s="145"/>
      <c r="Y49" s="190"/>
      <c r="Z49" s="190"/>
      <c r="AA49" s="190"/>
      <c r="AB49" s="190"/>
      <c r="AC49" s="190"/>
      <c r="AD49" s="190"/>
      <c r="AE49" s="146"/>
      <c r="AF49" s="147"/>
      <c r="AG49" s="146"/>
      <c r="AH49" s="146"/>
      <c r="AI49" s="146"/>
      <c r="AJ49" s="146"/>
      <c r="AK49" s="146"/>
      <c r="AL49" s="146"/>
      <c r="AM49" s="146"/>
      <c r="AN49" s="145"/>
      <c r="AO49" s="145"/>
    </row>
    <row r="50" spans="1:41" ht="13.35" customHeight="1">
      <c r="A50" s="146"/>
      <c r="B50" s="620">
        <v>4</v>
      </c>
      <c r="C50" s="993" t="s">
        <v>654</v>
      </c>
      <c r="D50" s="993"/>
      <c r="E50" s="993"/>
      <c r="F50" s="993"/>
      <c r="G50" s="993"/>
      <c r="H50" s="993"/>
      <c r="I50" s="993"/>
      <c r="J50" s="993"/>
      <c r="K50" s="993"/>
      <c r="L50" s="993"/>
      <c r="M50" s="145"/>
      <c r="N50" s="145"/>
      <c r="O50" s="145"/>
      <c r="P50" s="145"/>
      <c r="Q50" s="145"/>
      <c r="R50" s="145"/>
      <c r="S50" s="145"/>
      <c r="T50" s="145"/>
      <c r="U50" s="145"/>
      <c r="V50" s="145"/>
      <c r="W50" s="145"/>
      <c r="X50" s="145"/>
      <c r="Y50" s="190"/>
      <c r="Z50" s="190"/>
      <c r="AA50" s="190"/>
      <c r="AB50" s="190"/>
      <c r="AC50" s="190"/>
      <c r="AD50" s="190"/>
      <c r="AE50" s="146"/>
      <c r="AF50" s="147"/>
      <c r="AG50" s="146"/>
      <c r="AH50" s="146"/>
      <c r="AI50" s="146"/>
      <c r="AJ50" s="146"/>
      <c r="AK50" s="146"/>
      <c r="AL50" s="146"/>
      <c r="AM50" s="146"/>
      <c r="AN50" s="145"/>
      <c r="AO50" s="145"/>
    </row>
    <row r="51" spans="1:41" ht="13.35" customHeight="1">
      <c r="A51" s="146"/>
      <c r="B51" s="621">
        <v>5</v>
      </c>
      <c r="C51" s="993" t="s">
        <v>655</v>
      </c>
      <c r="D51" s="993"/>
      <c r="E51" s="993"/>
      <c r="F51" s="993"/>
      <c r="G51" s="993"/>
      <c r="H51" s="993"/>
      <c r="I51" s="993"/>
      <c r="J51" s="993"/>
      <c r="K51" s="993"/>
      <c r="L51" s="993"/>
      <c r="M51" s="145"/>
      <c r="N51" s="145"/>
      <c r="O51" s="145"/>
      <c r="P51" s="145"/>
      <c r="Q51" s="145"/>
      <c r="R51" s="145"/>
      <c r="S51" s="145"/>
      <c r="T51" s="145"/>
      <c r="U51" s="145"/>
      <c r="V51" s="145"/>
      <c r="W51" s="145"/>
      <c r="X51" s="145"/>
      <c r="Y51" s="190"/>
      <c r="Z51" s="190"/>
      <c r="AA51" s="190"/>
      <c r="AB51" s="190"/>
      <c r="AC51" s="190"/>
      <c r="AD51" s="190"/>
      <c r="AE51" s="146"/>
      <c r="AF51" s="147"/>
      <c r="AG51" s="146"/>
      <c r="AH51" s="146"/>
      <c r="AI51" s="146"/>
      <c r="AJ51" s="146"/>
      <c r="AK51" s="146"/>
      <c r="AL51" s="146"/>
      <c r="AM51" s="145"/>
      <c r="AN51" s="145"/>
      <c r="AO51" s="145"/>
    </row>
    <row r="52" spans="1:41">
      <c r="A52" s="146"/>
      <c r="B52" s="621">
        <v>6</v>
      </c>
      <c r="C52" s="992"/>
      <c r="D52" s="992"/>
      <c r="E52" s="992"/>
      <c r="F52" s="992"/>
      <c r="G52" s="992"/>
      <c r="H52" s="992"/>
      <c r="I52" s="992"/>
      <c r="J52" s="992"/>
      <c r="K52" s="992"/>
      <c r="L52" s="992"/>
      <c r="M52" s="145"/>
      <c r="N52" s="145"/>
      <c r="O52" s="145"/>
      <c r="P52" s="145"/>
      <c r="Q52" s="145"/>
      <c r="R52" s="145"/>
      <c r="S52" s="145"/>
      <c r="T52" s="145"/>
      <c r="U52" s="145"/>
      <c r="V52" s="145"/>
      <c r="W52" s="145"/>
      <c r="X52" s="145"/>
      <c r="Y52" s="145"/>
      <c r="Z52" s="146"/>
      <c r="AA52" s="147"/>
      <c r="AC52"/>
      <c r="AM52" s="147"/>
      <c r="AN52" s="146"/>
      <c r="AO52" s="146"/>
    </row>
    <row r="53" spans="1:41">
      <c r="A53" s="146"/>
      <c r="B53" s="621">
        <v>7</v>
      </c>
      <c r="C53" s="992"/>
      <c r="D53" s="992"/>
      <c r="E53" s="992"/>
      <c r="F53" s="992"/>
      <c r="G53" s="992"/>
      <c r="H53" s="992"/>
      <c r="I53" s="992"/>
      <c r="J53" s="992"/>
      <c r="K53" s="992"/>
      <c r="L53" s="992"/>
      <c r="M53" s="145"/>
      <c r="N53" s="145"/>
      <c r="O53" s="145"/>
      <c r="P53" s="145"/>
      <c r="Q53" s="145"/>
      <c r="R53" s="145"/>
      <c r="S53" s="145"/>
      <c r="T53" s="145"/>
      <c r="U53" s="145"/>
      <c r="V53" s="145"/>
      <c r="W53" s="145"/>
      <c r="X53" s="145"/>
      <c r="Y53" s="145"/>
      <c r="Z53" s="145"/>
      <c r="AA53" s="145"/>
      <c r="AB53" s="146"/>
      <c r="AC53" s="147"/>
    </row>
    <row r="54" spans="1:41">
      <c r="A54" s="146"/>
      <c r="B54" s="621">
        <v>8</v>
      </c>
      <c r="C54" s="992"/>
      <c r="D54" s="992"/>
      <c r="E54" s="992"/>
      <c r="F54" s="992"/>
      <c r="G54" s="992"/>
      <c r="H54" s="992"/>
      <c r="I54" s="992"/>
      <c r="J54" s="992"/>
      <c r="K54" s="992"/>
      <c r="L54" s="992"/>
      <c r="M54" s="145"/>
      <c r="N54" s="145"/>
      <c r="O54" s="145"/>
      <c r="P54" s="145"/>
      <c r="Q54" s="145"/>
      <c r="R54" s="145"/>
      <c r="S54" s="145"/>
      <c r="T54" s="145"/>
      <c r="U54" s="145"/>
      <c r="V54" s="145"/>
      <c r="W54" s="145"/>
      <c r="X54" s="145"/>
      <c r="Y54" s="145"/>
      <c r="Z54" s="145"/>
      <c r="AA54" s="145"/>
      <c r="AB54" s="146"/>
      <c r="AC54" s="147"/>
    </row>
    <row r="55" spans="1:41">
      <c r="A55" s="146"/>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6"/>
      <c r="AC55" s="147"/>
    </row>
    <row r="56" spans="1:41">
      <c r="A56" s="146"/>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6"/>
      <c r="AC56" s="147"/>
    </row>
    <row r="57" spans="1:41">
      <c r="A57" s="146"/>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6"/>
      <c r="AC57" s="147"/>
    </row>
    <row r="58" spans="1:41">
      <c r="A58" s="146"/>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6"/>
      <c r="AC58" s="147"/>
    </row>
    <row r="59" spans="1:41">
      <c r="B59" s="145"/>
      <c r="D59" s="145"/>
      <c r="E59"/>
      <c r="F59" s="145"/>
      <c r="G59" s="145"/>
      <c r="H59" s="145"/>
      <c r="I59" s="145"/>
      <c r="J59" s="145"/>
      <c r="K59" s="145"/>
      <c r="L59" s="145"/>
      <c r="M59" s="145"/>
      <c r="N59" s="145"/>
      <c r="O59" s="145"/>
      <c r="P59" s="145"/>
      <c r="Q59" s="145"/>
      <c r="R59" s="145"/>
      <c r="S59" s="145"/>
      <c r="T59" s="145"/>
      <c r="U59" s="145"/>
      <c r="V59" s="145"/>
      <c r="W59" s="145"/>
      <c r="X59" s="145"/>
      <c r="Y59" s="145"/>
      <c r="Z59" s="145"/>
      <c r="AA59" s="145"/>
      <c r="AB59" s="146"/>
    </row>
    <row r="60" spans="1:41">
      <c r="A60" s="145"/>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6"/>
    </row>
    <row r="61" spans="1:41">
      <c r="A61" s="145"/>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6"/>
    </row>
    <row r="62" spans="1:41">
      <c r="A62" s="145"/>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6"/>
    </row>
    <row r="63" spans="1:41">
      <c r="A63" s="145"/>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6"/>
    </row>
    <row r="64" spans="1:41">
      <c r="A64" s="145"/>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6"/>
    </row>
    <row r="65" spans="1:28">
      <c r="A65" s="145"/>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6"/>
    </row>
    <row r="66" spans="1:28">
      <c r="A66" s="145"/>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6"/>
    </row>
    <row r="67" spans="1:28">
      <c r="A67" s="145"/>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6"/>
    </row>
    <row r="68" spans="1:28">
      <c r="A68" s="145"/>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6"/>
    </row>
    <row r="69" spans="1:28">
      <c r="A69" s="145"/>
      <c r="B69" s="145"/>
      <c r="C69" s="145"/>
      <c r="D69" s="145"/>
      <c r="E69" s="145"/>
      <c r="F69" s="145"/>
    </row>
    <row r="70" spans="1:28">
      <c r="A70" s="145"/>
      <c r="B70" s="145"/>
      <c r="C70" s="145"/>
      <c r="D70" s="145"/>
      <c r="E70" s="145"/>
      <c r="F70" s="145"/>
    </row>
    <row r="71" spans="1:28">
      <c r="A71" s="145"/>
      <c r="B71" s="145"/>
      <c r="C71" s="145"/>
      <c r="D71" s="145"/>
      <c r="E71" s="145"/>
      <c r="F71" s="145"/>
    </row>
    <row r="72" spans="1:28">
      <c r="A72" s="145"/>
      <c r="B72" s="145"/>
      <c r="C72" s="145"/>
      <c r="D72" s="145"/>
      <c r="E72" s="145"/>
      <c r="F72" s="145"/>
    </row>
    <row r="73" spans="1:28">
      <c r="A73" s="145"/>
      <c r="B73" s="145"/>
      <c r="C73" s="145"/>
      <c r="D73" s="145"/>
      <c r="E73" s="145"/>
      <c r="F73" s="145"/>
    </row>
    <row r="74" spans="1:28">
      <c r="B74" s="146"/>
      <c r="C74" s="146"/>
      <c r="D74" s="145"/>
      <c r="E74" s="145"/>
      <c r="F74" s="145"/>
    </row>
    <row r="75" spans="1:28">
      <c r="B75" s="146"/>
      <c r="C75" s="146"/>
      <c r="D75" s="145"/>
      <c r="E75" s="145"/>
      <c r="F75" s="145"/>
    </row>
    <row r="76" spans="1:28">
      <c r="B76" s="146"/>
      <c r="C76" s="146"/>
      <c r="D76" s="145"/>
      <c r="E76" s="145"/>
      <c r="F76" s="145"/>
    </row>
    <row r="77" spans="1:28">
      <c r="B77" s="146"/>
      <c r="C77" s="146"/>
      <c r="D77" s="145"/>
      <c r="E77" s="145"/>
      <c r="F77" s="145"/>
    </row>
    <row r="78" spans="1:28">
      <c r="B78" s="146"/>
      <c r="C78" s="146"/>
      <c r="D78" s="145"/>
      <c r="E78" s="145"/>
      <c r="F78" s="145"/>
    </row>
    <row r="79" spans="1:28">
      <c r="B79" s="146"/>
      <c r="C79" s="146"/>
      <c r="D79" s="145"/>
      <c r="E79" s="145"/>
      <c r="F79" s="145"/>
    </row>
    <row r="80" spans="1:28">
      <c r="B80" s="146"/>
      <c r="C80" s="146"/>
      <c r="D80" s="145"/>
      <c r="E80" s="145"/>
      <c r="F80" s="145"/>
    </row>
    <row r="81" spans="2:6">
      <c r="B81" s="146"/>
      <c r="C81" s="146"/>
      <c r="D81" s="145"/>
      <c r="E81" s="145"/>
      <c r="F81" s="145"/>
    </row>
    <row r="82" spans="2:6">
      <c r="B82" s="146"/>
      <c r="C82" s="146"/>
      <c r="D82" s="145"/>
      <c r="E82" s="145"/>
      <c r="F82" s="145"/>
    </row>
    <row r="83" spans="2:6">
      <c r="B83" s="146"/>
      <c r="C83" s="146"/>
      <c r="D83" s="145"/>
      <c r="E83" s="145"/>
      <c r="F83" s="145"/>
    </row>
    <row r="84" spans="2:6">
      <c r="B84" s="146"/>
      <c r="C84" s="146"/>
      <c r="D84" s="145"/>
      <c r="E84" s="145"/>
      <c r="F84" s="145"/>
    </row>
    <row r="85" spans="2:6">
      <c r="B85" s="146"/>
      <c r="C85" s="146"/>
      <c r="D85" s="145"/>
      <c r="E85" s="145"/>
      <c r="F85" s="145"/>
    </row>
    <row r="86" spans="2:6">
      <c r="B86" s="146"/>
      <c r="C86" s="146"/>
      <c r="D86" s="145"/>
      <c r="E86" s="145"/>
      <c r="F86" s="145"/>
    </row>
    <row r="87" spans="2:6">
      <c r="B87" s="146"/>
      <c r="C87" s="146"/>
      <c r="D87" s="145"/>
      <c r="E87" s="145"/>
      <c r="F87" s="145"/>
    </row>
    <row r="88" spans="2:6">
      <c r="B88" s="146"/>
      <c r="C88" s="146"/>
      <c r="D88" s="145"/>
      <c r="E88" s="145"/>
      <c r="F88" s="145"/>
    </row>
    <row r="89" spans="2:6">
      <c r="B89" s="146"/>
      <c r="C89" s="146"/>
      <c r="D89" s="145"/>
      <c r="E89" s="145"/>
      <c r="F89" s="145"/>
    </row>
    <row r="90" spans="2:6">
      <c r="B90" s="146"/>
      <c r="C90" s="146"/>
      <c r="D90" s="145"/>
      <c r="E90" s="145"/>
      <c r="F90" s="145"/>
    </row>
    <row r="91" spans="2:6">
      <c r="B91" s="146"/>
      <c r="C91" s="146"/>
      <c r="D91" s="145"/>
      <c r="E91" s="145"/>
      <c r="F91" s="145"/>
    </row>
  </sheetData>
  <mergeCells count="42">
    <mergeCell ref="C1:G1"/>
    <mergeCell ref="B3:N3"/>
    <mergeCell ref="C5:L5"/>
    <mergeCell ref="C6:L6"/>
    <mergeCell ref="X9:AA9"/>
    <mergeCell ref="AB9:AE9"/>
    <mergeCell ref="AF9:AI9"/>
    <mergeCell ref="AF10:AI10"/>
    <mergeCell ref="C7:L7"/>
    <mergeCell ref="G9:L9"/>
    <mergeCell ref="N9:R9"/>
    <mergeCell ref="T9:W9"/>
    <mergeCell ref="AF15:AI15"/>
    <mergeCell ref="AF16:AI16"/>
    <mergeCell ref="AF17:AI17"/>
    <mergeCell ref="AF18:AI18"/>
    <mergeCell ref="AF11:AI11"/>
    <mergeCell ref="AF12:AI12"/>
    <mergeCell ref="AF13:AI13"/>
    <mergeCell ref="AF14:AI14"/>
    <mergeCell ref="T29:W29"/>
    <mergeCell ref="X29:AA29"/>
    <mergeCell ref="AF19:AI19"/>
    <mergeCell ref="AF20:AI20"/>
    <mergeCell ref="AF21:AI21"/>
    <mergeCell ref="AF22:AI22"/>
    <mergeCell ref="AR29:AU29"/>
    <mergeCell ref="AV29:AY29"/>
    <mergeCell ref="C47:L47"/>
    <mergeCell ref="C48:L48"/>
    <mergeCell ref="AB29:AE29"/>
    <mergeCell ref="AF29:AI29"/>
    <mergeCell ref="AJ29:AM29"/>
    <mergeCell ref="AN29:AQ29"/>
    <mergeCell ref="G29:L29"/>
    <mergeCell ref="N29:R29"/>
    <mergeCell ref="C53:L53"/>
    <mergeCell ref="C54:L54"/>
    <mergeCell ref="C49:L49"/>
    <mergeCell ref="C50:L50"/>
    <mergeCell ref="C51:L51"/>
    <mergeCell ref="C52:L52"/>
  </mergeCells>
  <phoneticPr fontId="37" type="noConversion"/>
  <pageMargins left="0.75" right="0.75" top="1" bottom="1" header="0.51180555555555551" footer="0.51180555555555551"/>
  <pageSetup paperSize="9" scale="47"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G79"/>
  <sheetViews>
    <sheetView workbookViewId="0">
      <selection activeCell="C32" sqref="C32:D32"/>
    </sheetView>
  </sheetViews>
  <sheetFormatPr defaultColWidth="9" defaultRowHeight="12.75"/>
  <cols>
    <col min="1" max="1" width="3" style="3" customWidth="1"/>
    <col min="2" max="2" width="4.83203125" style="3" customWidth="1"/>
    <col min="3" max="3" width="54.33203125" style="3" customWidth="1"/>
    <col min="4" max="4" width="72.1640625" style="3" customWidth="1"/>
    <col min="5" max="5" width="0" style="3" hidden="1" customWidth="1"/>
    <col min="6" max="7" width="2.6640625" style="3" customWidth="1"/>
    <col min="8" max="16384" width="9" style="3"/>
  </cols>
  <sheetData>
    <row r="1" spans="1:7">
      <c r="A1" s="5"/>
      <c r="B1" s="5"/>
      <c r="C1" s="5"/>
      <c r="D1" s="5"/>
      <c r="E1" s="5"/>
      <c r="F1" s="5"/>
      <c r="G1" s="5"/>
    </row>
    <row r="2" spans="1:7" ht="3.75" customHeight="1">
      <c r="A2" s="5"/>
      <c r="B2" s="5"/>
      <c r="C2" s="5"/>
      <c r="D2" s="5"/>
      <c r="E2" s="5"/>
      <c r="F2" s="5"/>
      <c r="G2" s="5"/>
    </row>
    <row r="3" spans="1:7" ht="26.25">
      <c r="A3" s="5"/>
      <c r="B3" s="5"/>
      <c r="C3" s="934" t="s">
        <v>777</v>
      </c>
      <c r="D3" s="934"/>
      <c r="E3" s="5"/>
      <c r="F3" s="5"/>
      <c r="G3" s="5"/>
    </row>
    <row r="4" spans="1:7" ht="13.5" thickBot="1">
      <c r="A4" s="5"/>
      <c r="B4" s="5"/>
      <c r="C4" s="5"/>
      <c r="D4" s="5"/>
      <c r="F4" s="5"/>
      <c r="G4" s="5"/>
    </row>
    <row r="5" spans="1:7" ht="18.75">
      <c r="A5" s="5"/>
      <c r="B5" s="5"/>
      <c r="C5" s="20" t="s">
        <v>759</v>
      </c>
      <c r="D5" s="21" t="s">
        <v>215</v>
      </c>
      <c r="E5" s="22"/>
      <c r="F5" s="5"/>
      <c r="G5" s="5"/>
    </row>
    <row r="6" spans="1:7" ht="15.75">
      <c r="A6" s="5"/>
      <c r="B6" s="5"/>
      <c r="C6" s="20" t="s">
        <v>760</v>
      </c>
      <c r="D6" s="23" t="s">
        <v>731</v>
      </c>
      <c r="E6" s="24"/>
      <c r="F6" s="5"/>
      <c r="G6" s="5"/>
    </row>
    <row r="7" spans="1:7" ht="15.75">
      <c r="A7" s="5"/>
      <c r="B7" s="5"/>
      <c r="C7" s="20" t="s">
        <v>761</v>
      </c>
      <c r="D7" s="23">
        <v>2005</v>
      </c>
      <c r="E7" s="24">
        <f>corpyear-1990+2</f>
        <v>17</v>
      </c>
      <c r="F7" s="5"/>
      <c r="G7" s="5"/>
    </row>
    <row r="8" spans="1:7" ht="16.5" thickBot="1">
      <c r="A8" s="5"/>
      <c r="B8" s="5"/>
      <c r="C8" s="25" t="s">
        <v>762</v>
      </c>
      <c r="D8" s="26">
        <v>2005</v>
      </c>
      <c r="E8" s="27">
        <f>1990-comyear</f>
        <v>-15</v>
      </c>
      <c r="F8" s="5"/>
      <c r="G8" s="5"/>
    </row>
    <row r="9" spans="1:7">
      <c r="A9" s="5"/>
      <c r="B9" s="5"/>
      <c r="C9" s="20" t="s">
        <v>763</v>
      </c>
      <c r="D9" s="28" t="s">
        <v>570</v>
      </c>
      <c r="F9" s="5"/>
      <c r="G9" s="5"/>
    </row>
    <row r="10" spans="1:7">
      <c r="A10" s="5"/>
      <c r="B10" s="5"/>
      <c r="C10" s="5"/>
      <c r="D10" s="5"/>
      <c r="F10" s="5"/>
      <c r="G10" s="5"/>
    </row>
    <row r="11" spans="1:7" ht="14.25">
      <c r="A11" s="5"/>
      <c r="B11" s="5"/>
      <c r="C11" s="20" t="s">
        <v>765</v>
      </c>
      <c r="D11" s="29">
        <v>175.98</v>
      </c>
      <c r="F11" s="5"/>
      <c r="G11" s="5"/>
    </row>
    <row r="12" spans="1:7">
      <c r="A12" s="5"/>
      <c r="B12" s="5"/>
      <c r="C12" s="20" t="s">
        <v>766</v>
      </c>
      <c r="D12" s="771">
        <v>366074</v>
      </c>
      <c r="F12" s="5"/>
      <c r="G12" s="5"/>
    </row>
    <row r="13" spans="1:7">
      <c r="A13" s="5"/>
      <c r="B13" s="5"/>
      <c r="C13" s="20" t="s">
        <v>767</v>
      </c>
      <c r="D13" s="29" t="s">
        <v>288</v>
      </c>
      <c r="F13" s="5"/>
      <c r="G13" s="5"/>
    </row>
    <row r="14" spans="1:7">
      <c r="A14" s="5"/>
      <c r="B14" s="5"/>
      <c r="C14" s="5"/>
      <c r="D14" s="5"/>
      <c r="F14" s="5"/>
      <c r="G14" s="5"/>
    </row>
    <row r="15" spans="1:7">
      <c r="A15" s="5"/>
      <c r="B15" s="5"/>
      <c r="C15" s="30" t="s">
        <v>379</v>
      </c>
      <c r="D15" s="5"/>
      <c r="F15" s="5"/>
      <c r="G15" s="5"/>
    </row>
    <row r="16" spans="1:7" ht="13.35" customHeight="1">
      <c r="A16" s="5"/>
      <c r="B16" s="31">
        <v>1</v>
      </c>
      <c r="C16" s="935" t="s">
        <v>768</v>
      </c>
      <c r="D16" s="935"/>
      <c r="F16" s="5"/>
      <c r="G16" s="5"/>
    </row>
    <row r="17" spans="1:7" ht="9" customHeight="1">
      <c r="A17" s="5"/>
      <c r="B17" s="31"/>
      <c r="C17" s="32"/>
      <c r="D17" s="32"/>
      <c r="F17" s="5"/>
      <c r="G17" s="5"/>
    </row>
    <row r="18" spans="1:7" ht="48" customHeight="1">
      <c r="A18" s="5"/>
      <c r="B18" s="31">
        <v>2</v>
      </c>
      <c r="C18" s="935" t="s">
        <v>769</v>
      </c>
      <c r="D18" s="935"/>
      <c r="F18" s="5"/>
      <c r="G18" s="5"/>
    </row>
    <row r="19" spans="1:7" ht="9" customHeight="1">
      <c r="A19" s="5"/>
      <c r="B19" s="31"/>
      <c r="C19" s="32"/>
      <c r="D19" s="32"/>
      <c r="F19" s="5"/>
      <c r="G19" s="5"/>
    </row>
    <row r="20" spans="1:7" ht="26.25" customHeight="1">
      <c r="A20" s="5"/>
      <c r="B20" s="31">
        <v>3</v>
      </c>
      <c r="C20" s="932" t="s">
        <v>770</v>
      </c>
      <c r="D20" s="932"/>
      <c r="F20" s="5"/>
      <c r="G20" s="5"/>
    </row>
    <row r="21" spans="1:7" ht="18.75" customHeight="1">
      <c r="A21" s="5"/>
      <c r="B21" s="31"/>
      <c r="C21" s="931" t="s">
        <v>771</v>
      </c>
      <c r="D21" s="931"/>
      <c r="F21" s="5"/>
      <c r="G21" s="5"/>
    </row>
    <row r="22" spans="1:7" ht="9" customHeight="1">
      <c r="A22" s="5"/>
      <c r="B22" s="31"/>
      <c r="C22" s="32"/>
      <c r="D22" s="32"/>
      <c r="F22" s="5"/>
      <c r="G22" s="5"/>
    </row>
    <row r="23" spans="1:7" ht="26.25" customHeight="1">
      <c r="A23" s="5"/>
      <c r="B23" s="31">
        <v>4</v>
      </c>
      <c r="C23" s="932" t="s">
        <v>772</v>
      </c>
      <c r="D23" s="932"/>
      <c r="F23" s="5"/>
      <c r="G23" s="5"/>
    </row>
    <row r="24" spans="1:7" ht="46.5" customHeight="1">
      <c r="A24" s="5"/>
      <c r="B24" s="33"/>
      <c r="C24" s="933" t="s">
        <v>773</v>
      </c>
      <c r="D24" s="933"/>
      <c r="F24" s="5"/>
      <c r="G24" s="5"/>
    </row>
    <row r="25" spans="1:7" ht="8.25" customHeight="1">
      <c r="A25" s="5"/>
      <c r="B25" s="33"/>
      <c r="C25" s="34"/>
      <c r="D25" s="34"/>
      <c r="F25" s="5"/>
      <c r="G25" s="5"/>
    </row>
    <row r="26" spans="1:7" ht="54.75" customHeight="1">
      <c r="A26" s="5"/>
      <c r="B26" s="31">
        <v>5</v>
      </c>
      <c r="C26" s="928" t="s">
        <v>774</v>
      </c>
      <c r="D26" s="928"/>
      <c r="F26" s="5"/>
      <c r="G26" s="5"/>
    </row>
    <row r="27" spans="1:7" ht="9" customHeight="1">
      <c r="A27" s="5"/>
      <c r="B27" s="31"/>
      <c r="C27" s="5"/>
      <c r="D27" s="5"/>
      <c r="F27" s="5"/>
      <c r="G27" s="5"/>
    </row>
    <row r="28" spans="1:7" ht="132.75" customHeight="1">
      <c r="A28" s="5"/>
      <c r="B28" s="31">
        <v>6</v>
      </c>
      <c r="C28" s="928" t="s">
        <v>775</v>
      </c>
      <c r="D28" s="928"/>
      <c r="F28" s="5"/>
      <c r="G28" s="5"/>
    </row>
    <row r="29" spans="1:7">
      <c r="A29" s="5"/>
      <c r="B29" s="33"/>
      <c r="C29" s="5"/>
      <c r="D29" s="5"/>
      <c r="F29" s="5"/>
      <c r="G29" s="5"/>
    </row>
    <row r="30" spans="1:7">
      <c r="A30" s="5"/>
      <c r="B30" s="33"/>
      <c r="C30" s="5"/>
      <c r="D30" s="5"/>
      <c r="F30" s="5"/>
      <c r="G30" s="5"/>
    </row>
    <row r="31" spans="1:7">
      <c r="C31" s="35" t="s">
        <v>776</v>
      </c>
      <c r="D31" s="36"/>
    </row>
    <row r="32" spans="1:7" ht="40.5" customHeight="1">
      <c r="C32" s="929" t="s">
        <v>25</v>
      </c>
      <c r="D32" s="929"/>
    </row>
    <row r="33" spans="3:4" ht="6.75" customHeight="1">
      <c r="C33" s="37"/>
      <c r="D33" s="38"/>
    </row>
    <row r="34" spans="3:4">
      <c r="C34" s="930" t="s">
        <v>26</v>
      </c>
      <c r="D34" s="930"/>
    </row>
    <row r="35" spans="3:4" ht="56.25" customHeight="1">
      <c r="C35" s="1" t="s">
        <v>27</v>
      </c>
      <c r="D35" s="1"/>
    </row>
    <row r="36" spans="3:4" ht="39" customHeight="1">
      <c r="C36" s="1" t="s">
        <v>28</v>
      </c>
      <c r="D36" s="1"/>
    </row>
    <row r="37" spans="3:4" ht="65.25" customHeight="1">
      <c r="C37" s="1" t="s">
        <v>29</v>
      </c>
      <c r="D37" s="1"/>
    </row>
    <row r="38" spans="3:4" ht="39" customHeight="1">
      <c r="C38" s="1" t="s">
        <v>30</v>
      </c>
      <c r="D38" s="1"/>
    </row>
    <row r="39" spans="3:4" ht="56.25" customHeight="1">
      <c r="C39" s="1" t="s">
        <v>430</v>
      </c>
      <c r="D39" s="1"/>
    </row>
    <row r="40" spans="3:4" ht="58.5" customHeight="1">
      <c r="C40" s="2" t="s">
        <v>31</v>
      </c>
      <c r="D40" s="2"/>
    </row>
    <row r="41" spans="3:4" ht="15.75" customHeight="1">
      <c r="C41" s="40"/>
      <c r="D41" s="40"/>
    </row>
    <row r="42" spans="3:4" ht="15.75" customHeight="1">
      <c r="C42" s="40"/>
      <c r="D42" s="40"/>
    </row>
    <row r="43" spans="3:4" ht="15.75" customHeight="1">
      <c r="C43" s="40"/>
      <c r="D43" s="40"/>
    </row>
    <row r="44" spans="3:4" ht="15.75" customHeight="1">
      <c r="C44" s="40"/>
      <c r="D44" s="40"/>
    </row>
    <row r="45" spans="3:4" ht="15.75" customHeight="1">
      <c r="C45" s="40"/>
      <c r="D45" s="40"/>
    </row>
    <row r="46" spans="3:4" ht="15.75" customHeight="1">
      <c r="C46" s="40"/>
      <c r="D46" s="40"/>
    </row>
    <row r="47" spans="3:4" ht="15.75" customHeight="1">
      <c r="C47" s="40"/>
      <c r="D47" s="40"/>
    </row>
    <row r="48" spans="3:4" ht="15.75" customHeight="1">
      <c r="C48" s="40"/>
      <c r="D48" s="40"/>
    </row>
    <row r="49" spans="1:4" ht="15.75" customHeight="1">
      <c r="C49" s="40"/>
      <c r="D49" s="40"/>
    </row>
    <row r="50" spans="1:4" ht="15.75" customHeight="1">
      <c r="C50" s="40"/>
      <c r="D50" s="40"/>
    </row>
    <row r="51" spans="1:4" ht="15.75" customHeight="1">
      <c r="C51" s="40"/>
      <c r="D51" s="40"/>
    </row>
    <row r="52" spans="1:4" ht="15.75" customHeight="1">
      <c r="C52" s="40"/>
      <c r="D52" s="40"/>
    </row>
    <row r="53" spans="1:4">
      <c r="C53" s="41" t="s">
        <v>32</v>
      </c>
    </row>
    <row r="54" spans="1:4">
      <c r="A54" s="3" t="s">
        <v>33</v>
      </c>
    </row>
    <row r="55" spans="1:4">
      <c r="A55" s="42" t="s">
        <v>34</v>
      </c>
      <c r="C55" s="42" t="s">
        <v>764</v>
      </c>
    </row>
    <row r="56" spans="1:4">
      <c r="A56" s="43">
        <v>1990</v>
      </c>
      <c r="C56" s="43" t="s">
        <v>731</v>
      </c>
    </row>
    <row r="57" spans="1:4">
      <c r="A57" s="43">
        <v>1991</v>
      </c>
      <c r="C57" s="39"/>
    </row>
    <row r="58" spans="1:4">
      <c r="A58" s="43">
        <v>1992</v>
      </c>
      <c r="C58" s="39"/>
    </row>
    <row r="59" spans="1:4">
      <c r="A59" s="43">
        <v>1993</v>
      </c>
      <c r="C59" s="39"/>
    </row>
    <row r="60" spans="1:4">
      <c r="A60" s="43">
        <v>1994</v>
      </c>
      <c r="C60" s="39"/>
    </row>
    <row r="61" spans="1:4">
      <c r="A61" s="43">
        <v>1995</v>
      </c>
      <c r="B61" s="44"/>
      <c r="C61" s="45"/>
    </row>
    <row r="62" spans="1:4">
      <c r="A62" s="43">
        <v>1996</v>
      </c>
    </row>
    <row r="63" spans="1:4">
      <c r="A63" s="43">
        <v>1997</v>
      </c>
    </row>
    <row r="64" spans="1:4">
      <c r="A64" s="43">
        <v>1998</v>
      </c>
      <c r="C64" s="42" t="s">
        <v>572</v>
      </c>
    </row>
    <row r="65" spans="1:3">
      <c r="A65" s="43">
        <v>1999</v>
      </c>
      <c r="C65" s="43" t="s">
        <v>571</v>
      </c>
    </row>
    <row r="66" spans="1:3">
      <c r="A66" s="43">
        <v>2000</v>
      </c>
      <c r="C66" s="46" t="s">
        <v>570</v>
      </c>
    </row>
    <row r="67" spans="1:3">
      <c r="A67" s="43">
        <v>2001</v>
      </c>
    </row>
    <row r="68" spans="1:3">
      <c r="A68" s="43">
        <v>2002</v>
      </c>
    </row>
    <row r="69" spans="1:3">
      <c r="A69" s="43">
        <v>2003</v>
      </c>
    </row>
    <row r="70" spans="1:3">
      <c r="A70" s="43">
        <v>2004</v>
      </c>
    </row>
    <row r="71" spans="1:3">
      <c r="A71" s="43">
        <v>2005</v>
      </c>
    </row>
    <row r="72" spans="1:3">
      <c r="A72" s="43">
        <v>2006</v>
      </c>
    </row>
    <row r="73" spans="1:3">
      <c r="A73" s="43">
        <v>2007</v>
      </c>
    </row>
    <row r="74" spans="1:3">
      <c r="A74" s="43">
        <v>2008</v>
      </c>
    </row>
    <row r="75" spans="1:3">
      <c r="A75" s="43">
        <v>2009</v>
      </c>
    </row>
    <row r="76" spans="1:3">
      <c r="A76" s="43">
        <v>2010</v>
      </c>
    </row>
    <row r="77" spans="1:3">
      <c r="A77" s="43">
        <v>2011</v>
      </c>
    </row>
    <row r="78" spans="1:3">
      <c r="A78" s="43">
        <v>2012</v>
      </c>
    </row>
    <row r="79" spans="1:3">
      <c r="A79" s="46">
        <v>2013</v>
      </c>
    </row>
  </sheetData>
  <mergeCells count="17">
    <mergeCell ref="C21:D21"/>
    <mergeCell ref="C23:D23"/>
    <mergeCell ref="C24:D24"/>
    <mergeCell ref="C26:D26"/>
    <mergeCell ref="C3:D3"/>
    <mergeCell ref="C16:D16"/>
    <mergeCell ref="C18:D18"/>
    <mergeCell ref="C20:D20"/>
    <mergeCell ref="C40:D40"/>
    <mergeCell ref="C36:D36"/>
    <mergeCell ref="C37:D37"/>
    <mergeCell ref="C38:D38"/>
    <mergeCell ref="C39:D39"/>
    <mergeCell ref="C28:D28"/>
    <mergeCell ref="C32:D32"/>
    <mergeCell ref="C34:D34"/>
    <mergeCell ref="C35:D35"/>
  </mergeCells>
  <phoneticPr fontId="37" type="noConversion"/>
  <dataValidations count="4">
    <dataValidation type="list" operator="equal" allowBlank="1" showErrorMessage="1" sqref="D6">
      <formula1>$C$55:$C$60</formula1>
      <formula2>0</formula2>
    </dataValidation>
    <dataValidation type="list" operator="equal" allowBlank="1" showErrorMessage="1" sqref="D7">
      <formula1>$A$55:$A$78</formula1>
      <formula2>0</formula2>
    </dataValidation>
    <dataValidation type="list" operator="equal" allowBlank="1" showErrorMessage="1" sqref="D8">
      <formula1>$A$55:$A$78</formula1>
      <formula2>0</formula2>
    </dataValidation>
    <dataValidation type="list" operator="equal" allowBlank="1" showErrorMessage="1" sqref="D9">
      <formula1>$C$64:$C$66</formula1>
      <formula2>0</formula2>
    </dataValidation>
  </dataValidations>
  <pageMargins left="0.74791666666666667" right="0.74791666666666667" top="0.57013888888888886" bottom="0.60972222222222228" header="0.51180555555555551" footer="0.51180555555555551"/>
  <pageSetup paperSize="9" firstPageNumber="0" orientation="landscape" horizontalDpi="300" verticalDpi="300"/>
  <headerFooter alignWithMargins="0"/>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R78"/>
  <sheetViews>
    <sheetView topLeftCell="A52" workbookViewId="0">
      <selection activeCell="E12" sqref="E12"/>
    </sheetView>
  </sheetViews>
  <sheetFormatPr defaultRowHeight="12.75"/>
  <cols>
    <col min="1" max="1" width="4.1640625" customWidth="1"/>
    <col min="2" max="2" width="37.83203125" customWidth="1"/>
    <col min="3" max="3" width="19.33203125" style="136" customWidth="1"/>
    <col min="4" max="4" width="14.83203125" style="136" customWidth="1"/>
    <col min="5" max="5" width="19.6640625" style="136" customWidth="1"/>
    <col min="6" max="6" width="21.83203125" customWidth="1"/>
    <col min="7" max="7" width="2.83203125" customWidth="1"/>
    <col min="8" max="8" width="10.33203125" customWidth="1"/>
    <col min="9" max="9" width="11.6640625" customWidth="1"/>
  </cols>
  <sheetData>
    <row r="1" spans="1:18">
      <c r="A1" s="146"/>
      <c r="B1" s="146"/>
      <c r="C1" s="145"/>
      <c r="D1" s="145"/>
      <c r="E1" s="145"/>
      <c r="F1" s="146"/>
      <c r="G1" s="146"/>
      <c r="H1" s="146"/>
      <c r="I1" s="146"/>
      <c r="J1" s="146"/>
      <c r="K1" s="146"/>
      <c r="L1" s="146"/>
      <c r="M1" s="146"/>
      <c r="N1" s="146"/>
      <c r="O1" s="146"/>
    </row>
    <row r="2" spans="1:18" ht="23.25" customHeight="1">
      <c r="A2" s="146"/>
      <c r="B2" s="934" t="s">
        <v>682</v>
      </c>
      <c r="C2" s="934"/>
      <c r="D2" s="934"/>
      <c r="E2" s="934"/>
      <c r="F2" s="934"/>
      <c r="G2" s="934"/>
      <c r="H2" s="146"/>
      <c r="I2" s="146"/>
      <c r="J2" s="146"/>
      <c r="K2" s="146"/>
      <c r="L2" s="146"/>
      <c r="M2" s="146"/>
      <c r="N2" s="146"/>
      <c r="O2" s="146"/>
      <c r="P2" s="146"/>
    </row>
    <row r="3" spans="1:18">
      <c r="A3" s="146"/>
      <c r="B3" s="146"/>
      <c r="C3" s="145"/>
      <c r="D3" s="145"/>
      <c r="E3" s="145"/>
      <c r="F3" s="146"/>
      <c r="G3" s="146"/>
      <c r="H3" s="146"/>
      <c r="I3" s="146"/>
      <c r="J3" s="146"/>
      <c r="K3" s="146"/>
      <c r="L3" s="146"/>
      <c r="M3" s="146"/>
      <c r="N3" s="146"/>
      <c r="O3" s="146"/>
      <c r="P3" s="146"/>
    </row>
    <row r="4" spans="1:18" ht="15">
      <c r="A4" s="146"/>
      <c r="B4" s="61" t="s">
        <v>443</v>
      </c>
      <c r="C4" s="622" t="str">
        <f>name</f>
        <v>Bydgoszcz</v>
      </c>
      <c r="D4" s="70"/>
      <c r="E4" s="70"/>
      <c r="F4" s="30"/>
      <c r="G4" s="146"/>
      <c r="H4" s="146"/>
      <c r="I4" s="146"/>
      <c r="J4" s="146"/>
      <c r="K4" s="146"/>
      <c r="L4" s="146"/>
      <c r="M4" s="146"/>
      <c r="N4" s="146"/>
      <c r="O4" s="146"/>
      <c r="P4" s="146"/>
    </row>
    <row r="5" spans="1:18" ht="15">
      <c r="A5" s="146"/>
      <c r="B5" s="225"/>
      <c r="D5" s="61" t="s">
        <v>538</v>
      </c>
      <c r="E5" s="622">
        <f>comyear</f>
        <v>2005</v>
      </c>
      <c r="F5" s="30"/>
      <c r="G5" s="146"/>
      <c r="H5" s="146"/>
      <c r="I5" s="146"/>
      <c r="J5" s="146"/>
      <c r="K5" s="146"/>
      <c r="L5" s="146"/>
      <c r="M5" s="146"/>
      <c r="N5" s="146"/>
      <c r="O5" s="146"/>
      <c r="P5" s="146"/>
    </row>
    <row r="6" spans="1:18" ht="15">
      <c r="A6" s="146"/>
      <c r="B6" s="225"/>
      <c r="D6" s="61" t="s">
        <v>656</v>
      </c>
      <c r="E6" s="622" t="str">
        <f>Ogolne!D9</f>
        <v>Zużycie paliw</v>
      </c>
      <c r="F6" s="30"/>
      <c r="G6" s="146"/>
      <c r="H6" s="146"/>
      <c r="I6" s="146"/>
      <c r="J6" s="146"/>
      <c r="K6" s="146"/>
      <c r="L6" s="146"/>
      <c r="M6" s="146"/>
      <c r="N6" s="146"/>
      <c r="O6" s="146"/>
      <c r="P6" s="146"/>
    </row>
    <row r="7" spans="1:18">
      <c r="A7" s="146"/>
      <c r="B7" s="146"/>
      <c r="C7" s="145"/>
      <c r="D7" s="145"/>
      <c r="E7" s="408"/>
      <c r="F7" s="146"/>
      <c r="G7" s="146"/>
      <c r="H7" s="146"/>
      <c r="I7" s="146"/>
      <c r="J7" s="146"/>
      <c r="K7" s="146"/>
      <c r="L7" s="146"/>
      <c r="M7" s="146"/>
      <c r="N7" s="146"/>
      <c r="O7" s="146"/>
      <c r="P7" s="146"/>
    </row>
    <row r="8" spans="1:18" s="10" customFormat="1" ht="15">
      <c r="A8" s="8"/>
      <c r="B8" s="50" t="s">
        <v>657</v>
      </c>
      <c r="C8" s="415"/>
      <c r="D8" s="415"/>
      <c r="E8" s="415"/>
      <c r="F8" s="8"/>
      <c r="G8" s="8"/>
      <c r="H8" s="8"/>
      <c r="I8" s="8"/>
      <c r="J8" s="8"/>
      <c r="K8" s="8"/>
      <c r="L8" s="8"/>
      <c r="M8" s="8"/>
      <c r="N8" s="8"/>
      <c r="O8" s="8"/>
      <c r="P8" s="8"/>
      <c r="Q8" s="8"/>
      <c r="R8" s="8"/>
    </row>
    <row r="9" spans="1:18" s="10" customFormat="1" ht="64.5" customHeight="1">
      <c r="A9" s="8"/>
      <c r="B9" s="1010" t="s">
        <v>498</v>
      </c>
      <c r="C9" s="1010"/>
      <c r="D9" s="1010"/>
      <c r="E9" s="623" t="s">
        <v>528</v>
      </c>
      <c r="F9" s="624" t="s">
        <v>412</v>
      </c>
      <c r="G9" s="8"/>
      <c r="H9" s="8"/>
      <c r="I9" s="8"/>
      <c r="J9" s="8"/>
      <c r="K9" s="8"/>
      <c r="L9" s="8"/>
      <c r="M9" s="8"/>
      <c r="N9" s="8"/>
      <c r="O9" s="8"/>
      <c r="P9" s="8"/>
      <c r="Q9" s="8"/>
      <c r="R9" s="8"/>
    </row>
    <row r="10" spans="1:18" s="10" customFormat="1" ht="14.25">
      <c r="A10" s="8"/>
      <c r="B10" s="1014" t="s">
        <v>661</v>
      </c>
      <c r="C10" s="1014"/>
      <c r="D10" s="1014"/>
      <c r="E10" s="423">
        <f>'Spo-Mieszkalny'!E21</f>
        <v>2095830.5213816001</v>
      </c>
      <c r="F10" s="625">
        <f>'Spo-Mieszkalny'!F21</f>
        <v>1006754.9415997632</v>
      </c>
      <c r="G10" s="8"/>
      <c r="H10" s="8"/>
      <c r="I10" s="8"/>
      <c r="J10" s="8"/>
      <c r="K10" s="8"/>
      <c r="L10" s="8"/>
      <c r="M10" s="8"/>
      <c r="N10" s="8"/>
      <c r="O10" s="8"/>
      <c r="P10" s="8"/>
      <c r="Q10" s="8"/>
      <c r="R10" s="8"/>
    </row>
    <row r="11" spans="1:18" s="10" customFormat="1" ht="14.25" customHeight="1">
      <c r="A11" s="8"/>
      <c r="B11" s="1012" t="s">
        <v>658</v>
      </c>
      <c r="C11" s="1012"/>
      <c r="D11" s="1012"/>
      <c r="E11" s="388">
        <f>'Spo-Uslugi'!E21</f>
        <v>526408.78317502723</v>
      </c>
      <c r="F11" s="626">
        <f>'Spo-Uslugi'!F21</f>
        <v>306845.94487365201</v>
      </c>
      <c r="G11" s="8"/>
      <c r="H11" s="8"/>
      <c r="I11" s="8"/>
      <c r="J11" s="8"/>
      <c r="K11" s="8"/>
      <c r="L11" s="8"/>
      <c r="M11" s="8"/>
      <c r="N11" s="8"/>
      <c r="O11" s="8"/>
      <c r="P11" s="8"/>
      <c r="Q11" s="8"/>
      <c r="R11" s="8"/>
    </row>
    <row r="12" spans="1:18" s="10" customFormat="1" ht="14.25">
      <c r="A12" s="8"/>
      <c r="B12" s="1012" t="s">
        <v>659</v>
      </c>
      <c r="C12" s="1012"/>
      <c r="D12" s="1012"/>
      <c r="E12" s="388">
        <f>'Spo-Przemysł'!E24</f>
        <v>1073692.1133101063</v>
      </c>
      <c r="F12" s="626">
        <f>'Spo-Przemysł'!F24</f>
        <v>889286.64329892956</v>
      </c>
      <c r="G12" s="8"/>
      <c r="H12" s="8"/>
      <c r="I12" s="8"/>
      <c r="J12" s="8"/>
      <c r="K12" s="8"/>
      <c r="L12" s="8"/>
      <c r="M12" s="8"/>
      <c r="N12" s="8"/>
      <c r="O12" s="8"/>
      <c r="P12" s="8"/>
      <c r="Q12" s="8"/>
      <c r="R12" s="8"/>
    </row>
    <row r="13" spans="1:18" s="10" customFormat="1" ht="14.25">
      <c r="A13" s="8"/>
      <c r="B13" s="1012" t="s">
        <v>660</v>
      </c>
      <c r="C13" s="1012"/>
      <c r="D13" s="1012"/>
      <c r="E13" s="388">
        <f>IF(Ogolne!D9=Ogolne!$C$64,0,IF(Ogolne!D9=Ogolne!$C$65,'Com-Transportation (VKT)'!K21,'Spo-Transport (ZuzyciePaliw)'!AE20))</f>
        <v>2834867.8434476536</v>
      </c>
      <c r="F13" s="389">
        <f>IF(Ogolne!$D$9=Ogolne!$C$64,0,IF(Ogolne!$D$9=Ogolne!$C$65,'Com-Transportation (VKT)'!J21,'Spo-Transport (ZuzyciePaliw)'!AF20))</f>
        <v>569926.51350850426</v>
      </c>
      <c r="G13" s="8"/>
      <c r="H13" s="8"/>
      <c r="I13" s="8"/>
      <c r="J13" s="8"/>
      <c r="K13" s="8"/>
      <c r="L13" s="8"/>
      <c r="M13" s="8"/>
      <c r="N13" s="8"/>
      <c r="O13" s="8"/>
      <c r="P13" s="8"/>
      <c r="Q13" s="8"/>
      <c r="R13" s="8"/>
    </row>
    <row r="14" spans="1:18" s="10" customFormat="1" ht="14.25">
      <c r="A14" s="8"/>
      <c r="B14" s="1012" t="s">
        <v>662</v>
      </c>
      <c r="C14" s="1012"/>
      <c r="D14" s="1012"/>
      <c r="E14" s="388"/>
      <c r="F14" s="626">
        <f>'Spo-Odpady'!E15</f>
        <v>42754.489409006994</v>
      </c>
      <c r="G14" s="8"/>
      <c r="H14" s="8"/>
      <c r="I14" s="8"/>
      <c r="J14" s="8"/>
      <c r="K14" s="8"/>
      <c r="L14" s="8"/>
      <c r="M14" s="8"/>
      <c r="N14" s="8"/>
      <c r="O14" s="8"/>
      <c r="P14" s="8"/>
      <c r="Q14" s="8"/>
      <c r="R14" s="8"/>
    </row>
    <row r="15" spans="1:18" s="10" customFormat="1" ht="14.25">
      <c r="A15" s="8"/>
      <c r="B15" s="1012" t="s">
        <v>663</v>
      </c>
      <c r="C15" s="1012"/>
      <c r="D15" s="1012"/>
      <c r="E15" s="388"/>
      <c r="F15" s="626">
        <f>Rolnictwo!G11</f>
        <v>68730.456551088166</v>
      </c>
      <c r="G15" s="8"/>
      <c r="H15" s="8"/>
      <c r="I15" s="8"/>
      <c r="J15" s="8"/>
      <c r="K15" s="8"/>
      <c r="L15" s="8"/>
      <c r="M15" s="8"/>
      <c r="N15" s="8"/>
      <c r="O15" s="8"/>
      <c r="P15" s="8"/>
      <c r="Q15" s="8"/>
      <c r="R15" s="8"/>
    </row>
    <row r="16" spans="1:18" s="10" customFormat="1" ht="14.25">
      <c r="A16" s="8"/>
      <c r="B16" s="1012" t="s">
        <v>666</v>
      </c>
      <c r="C16" s="1012"/>
      <c r="D16" s="1012"/>
      <c r="E16" s="388">
        <f>'Lokalna produkcja energii'!K23+'Lokalna produkcja energii'!K40</f>
        <v>245054.31273826299</v>
      </c>
      <c r="F16" s="626">
        <f>'Lokalna produkcja energii'!J23+'Lokalna produkcja energii'!J40</f>
        <v>88931.854539537046</v>
      </c>
      <c r="G16" s="8"/>
      <c r="H16" s="8"/>
      <c r="I16" s="8"/>
      <c r="J16" s="8"/>
      <c r="K16" s="8"/>
      <c r="L16" s="8"/>
      <c r="M16" s="8"/>
      <c r="N16" s="8"/>
      <c r="O16" s="8"/>
      <c r="P16" s="8"/>
      <c r="Q16" s="8"/>
      <c r="R16" s="8"/>
    </row>
    <row r="17" spans="1:16" s="10" customFormat="1" ht="15">
      <c r="A17" s="8"/>
      <c r="B17" s="1013" t="s">
        <v>664</v>
      </c>
      <c r="C17" s="1013"/>
      <c r="D17" s="1013"/>
      <c r="E17" s="627">
        <f>SUM(E10:E16)</f>
        <v>6775853.5740526505</v>
      </c>
      <c r="F17" s="628">
        <f>SUM(F10:F16)</f>
        <v>2973230.8437804813</v>
      </c>
      <c r="G17" s="8"/>
      <c r="H17" s="8"/>
      <c r="I17" s="8"/>
      <c r="J17" s="8"/>
      <c r="K17" s="8"/>
      <c r="L17" s="8"/>
      <c r="M17" s="8"/>
      <c r="N17" s="8"/>
      <c r="O17" s="8"/>
      <c r="P17" s="8"/>
    </row>
    <row r="18" spans="1:16" s="10" customFormat="1" ht="14.25">
      <c r="A18" s="8"/>
      <c r="B18" s="1012" t="s">
        <v>665</v>
      </c>
      <c r="C18" s="1012"/>
      <c r="D18" s="1012"/>
      <c r="E18" s="395">
        <f>SUM(E24:E25)+SUM(E29:E30)</f>
        <v>-31804.273999999998</v>
      </c>
      <c r="F18" s="629">
        <f>SUM(F24:F25)+SUM(F29:F30)</f>
        <v>-4606.5761918784656</v>
      </c>
      <c r="G18" s="8"/>
      <c r="H18" s="8"/>
      <c r="I18" s="8"/>
      <c r="J18" s="8"/>
      <c r="K18" s="8"/>
      <c r="L18" s="8"/>
      <c r="M18" s="8"/>
      <c r="N18" s="8"/>
      <c r="O18" s="8"/>
      <c r="P18" s="8"/>
    </row>
    <row r="19" spans="1:16" s="10" customFormat="1" ht="15">
      <c r="A19" s="8"/>
      <c r="B19" s="1013" t="s">
        <v>440</v>
      </c>
      <c r="C19" s="1013"/>
      <c r="D19" s="1013"/>
      <c r="E19" s="630">
        <f>SUM(E17:E18)</f>
        <v>6744049.3000526503</v>
      </c>
      <c r="F19" s="487">
        <f>SUM(F17:F18)</f>
        <v>2968624.2675886028</v>
      </c>
      <c r="G19" s="8"/>
      <c r="H19" s="8"/>
      <c r="I19" s="8"/>
      <c r="J19" s="8"/>
      <c r="K19" s="8"/>
      <c r="L19" s="8"/>
      <c r="M19" s="8"/>
      <c r="N19" s="8"/>
      <c r="O19" s="8"/>
      <c r="P19" s="8"/>
    </row>
    <row r="20" spans="1:16" s="10" customFormat="1" ht="14.25">
      <c r="A20" s="8"/>
      <c r="B20" s="8"/>
      <c r="C20" s="415"/>
      <c r="D20" s="415"/>
      <c r="E20" s="415"/>
      <c r="F20" s="8"/>
      <c r="G20" s="8"/>
      <c r="H20" s="8"/>
      <c r="I20" s="8"/>
      <c r="J20" s="8"/>
      <c r="K20" s="8"/>
      <c r="L20" s="8"/>
      <c r="M20" s="8"/>
      <c r="N20" s="8"/>
      <c r="O20" s="8"/>
      <c r="P20" s="8"/>
    </row>
    <row r="21" spans="1:16" s="10" customFormat="1" ht="15">
      <c r="A21" s="8"/>
      <c r="B21" s="50" t="s">
        <v>667</v>
      </c>
      <c r="C21" s="415"/>
      <c r="D21" s="415"/>
      <c r="E21" s="415"/>
      <c r="F21" s="8"/>
      <c r="G21" s="8"/>
      <c r="H21" s="8"/>
      <c r="I21" s="8"/>
      <c r="J21" s="8"/>
      <c r="K21" s="8"/>
      <c r="L21" s="8"/>
      <c r="M21" s="8"/>
      <c r="N21" s="8"/>
      <c r="O21" s="8"/>
      <c r="P21" s="8"/>
    </row>
    <row r="22" spans="1:16" s="10" customFormat="1" ht="30">
      <c r="A22" s="8"/>
      <c r="B22" s="1010" t="s">
        <v>498</v>
      </c>
      <c r="C22" s="1010"/>
      <c r="D22" s="1010"/>
      <c r="E22" s="623" t="s">
        <v>531</v>
      </c>
      <c r="F22" s="624" t="s">
        <v>412</v>
      </c>
      <c r="G22" s="8"/>
      <c r="H22" s="8"/>
      <c r="I22" s="8"/>
      <c r="J22" s="8"/>
      <c r="K22" s="8"/>
      <c r="L22" s="8"/>
      <c r="M22" s="8"/>
      <c r="N22" s="8"/>
      <c r="O22" s="8"/>
      <c r="P22" s="8"/>
    </row>
    <row r="23" spans="1:16" s="10" customFormat="1" ht="15" customHeight="1">
      <c r="A23" s="8"/>
      <c r="B23" s="1011" t="s">
        <v>668</v>
      </c>
      <c r="C23" s="1011"/>
      <c r="D23" s="1011"/>
      <c r="E23" s="631">
        <f>'Spo-Mieszkalny'!E10+'Spo-Uslugi'!E10+'Spo-Przemysł'!E10+(IF(Ogolne!D9=Ogolne!C64,0,IF(Ogolne!D9=Ogolne!C65,'Com-Transportation (VKT)'!K20,'Spo-Transport (ZuzyciePaliw)'!Z20)))</f>
        <v>1122004.4708829999</v>
      </c>
      <c r="F23" s="632">
        <f>'Spo-Mieszkalny'!F10+'Spo-Uslugi'!F10+'Spo-Przemysł'!F10+(IF(Ogolne!D9=Ogolne!C64,0,IF(Ogolne!D9=Ogolne!C65,'Com-Transportation (VKT)'!J20,'Spo-Transport (ZuzyciePaliw)'!AA20)))</f>
        <v>1101808.3904071059</v>
      </c>
      <c r="G23" s="8"/>
      <c r="H23" s="8"/>
      <c r="I23" s="8"/>
      <c r="J23" s="8"/>
      <c r="K23" s="8"/>
      <c r="L23" s="8"/>
      <c r="M23" s="8"/>
      <c r="N23" s="8"/>
      <c r="O23" s="8"/>
      <c r="P23" s="8"/>
    </row>
    <row r="24" spans="1:16" s="10" customFormat="1" ht="14.25" customHeight="1">
      <c r="A24" s="8"/>
      <c r="B24" s="1006" t="s">
        <v>669</v>
      </c>
      <c r="C24" s="1006"/>
      <c r="D24" s="1006"/>
      <c r="E24" s="633">
        <f>-'Lokalna produkcja energii'!G23</f>
        <v>-31797.583999999999</v>
      </c>
      <c r="F24" s="625">
        <f>-IF('Lokalna produkcja energii'!G23+'Lokalna produkcja energii'!H23+'Lokalna produkcja energii'!I23=0,0,'Lokalna produkcja energii'!J23*'Lokalna produkcja energii'!G23/('Lokalna produkcja energii'!G23+'Lokalna produkcja energii'!H23+'Lokalna produkcja energii'!I23))</f>
        <v>-4605.6072027821047</v>
      </c>
      <c r="G24" s="8"/>
      <c r="H24" s="8"/>
      <c r="I24" s="8"/>
      <c r="J24" s="8"/>
      <c r="K24" s="8"/>
      <c r="L24" s="8"/>
      <c r="M24" s="8"/>
      <c r="N24" s="8"/>
      <c r="O24" s="8"/>
      <c r="P24" s="8"/>
    </row>
    <row r="25" spans="1:16" s="10" customFormat="1" ht="15" customHeight="1">
      <c r="A25" s="8"/>
      <c r="B25" s="1006" t="s">
        <v>670</v>
      </c>
      <c r="C25" s="1006"/>
      <c r="D25" s="1006"/>
      <c r="E25" s="634">
        <f>-'Lokalna produkcja energii'!G40</f>
        <v>0</v>
      </c>
      <c r="F25" s="635">
        <f>-IF('Lokalna produkcja energii'!G40+'Lokalna produkcja energii'!H40+'Lokalna produkcja energii'!I40=0,0,'Lokalna produkcja energii'!J40*'Lokalna produkcja energii'!G40/('Lokalna produkcja energii'!G40+'Lokalna produkcja energii'!H40+'Lokalna produkcja energii'!I40))</f>
        <v>0</v>
      </c>
      <c r="G25" s="8"/>
      <c r="H25" s="8"/>
      <c r="I25" s="8"/>
      <c r="J25" s="8"/>
      <c r="K25" s="8"/>
      <c r="L25" s="8"/>
      <c r="M25" s="8"/>
      <c r="N25" s="8"/>
      <c r="O25" s="8"/>
      <c r="P25" s="8"/>
    </row>
    <row r="26" spans="1:16" s="10" customFormat="1" ht="15">
      <c r="A26" s="8"/>
      <c r="B26" s="1007" t="s">
        <v>671</v>
      </c>
      <c r="C26" s="1007"/>
      <c r="D26" s="1007"/>
      <c r="E26" s="636">
        <f>SUM(E23:E25)</f>
        <v>1090206.8868829999</v>
      </c>
      <c r="F26" s="637">
        <f>SUM(F23:F25)</f>
        <v>1097202.7832043238</v>
      </c>
      <c r="G26" s="8"/>
      <c r="H26" s="8"/>
      <c r="I26" s="8"/>
      <c r="J26" s="8"/>
      <c r="K26" s="8"/>
      <c r="L26" s="8"/>
      <c r="M26" s="8"/>
      <c r="N26" s="8"/>
      <c r="O26" s="8"/>
      <c r="P26" s="8"/>
    </row>
    <row r="27" spans="1:16" s="10" customFormat="1" ht="14.25" customHeight="1">
      <c r="A27" s="8"/>
      <c r="B27" s="1008"/>
      <c r="C27" s="1008"/>
      <c r="D27" s="1008"/>
      <c r="E27" s="387"/>
      <c r="F27" s="387"/>
      <c r="G27" s="8"/>
      <c r="H27" s="8"/>
      <c r="I27" s="8"/>
      <c r="J27" s="8"/>
      <c r="K27" s="8"/>
      <c r="L27" s="8"/>
      <c r="M27" s="8"/>
      <c r="N27" s="8"/>
      <c r="O27" s="8"/>
      <c r="P27" s="8"/>
    </row>
    <row r="28" spans="1:16" s="10" customFormat="1" ht="15">
      <c r="A28" s="8"/>
      <c r="B28" s="1009" t="s">
        <v>672</v>
      </c>
      <c r="C28" s="1009"/>
      <c r="D28" s="1009"/>
      <c r="E28" s="638">
        <f>'Spo-Mieszkalny'!C13+'Spo-Uslugi'!C13+'Spo-Przemysł'!C13</f>
        <v>1224651.1496433115</v>
      </c>
      <c r="F28" s="522">
        <f>'Spo-Mieszkalny'!F13+'Spo-Uslugi'!F13+'Spo-Przemysł'!F13</f>
        <v>396786.97248443292</v>
      </c>
      <c r="G28" s="8"/>
      <c r="H28" s="8"/>
      <c r="I28" s="8"/>
      <c r="J28" s="8"/>
      <c r="K28" s="8"/>
      <c r="L28" s="8"/>
      <c r="M28" s="8"/>
      <c r="N28" s="8"/>
      <c r="O28" s="8"/>
      <c r="P28" s="8"/>
    </row>
    <row r="29" spans="1:16" s="10" customFormat="1" ht="14.25" customHeight="1">
      <c r="A29" s="8"/>
      <c r="B29" s="1006" t="s">
        <v>669</v>
      </c>
      <c r="C29" s="1006"/>
      <c r="D29" s="1006"/>
      <c r="E29" s="470">
        <f>-('Lokalna produkcja energii'!H23+'Lokalna produkcja energii'!I23)</f>
        <v>-6.69</v>
      </c>
      <c r="F29" s="626">
        <f>-IF('Lokalna produkcja energii'!G23+'Lokalna produkcja energii'!H23+'Lokalna produkcja energii'!I23=0,0,'Lokalna produkcja energii'!J23*(1-('Lokalna produkcja energii'!G23/('Lokalna produkcja energii'!G23+'Lokalna produkcja energii'!H23+'Lokalna produkcja energii'!I23))))</f>
        <v>-0.96898909636068853</v>
      </c>
      <c r="G29" s="8"/>
      <c r="H29" s="8"/>
      <c r="I29" s="8"/>
      <c r="J29" s="8"/>
      <c r="K29" s="8"/>
      <c r="L29" s="8"/>
      <c r="M29" s="8"/>
      <c r="N29" s="8"/>
      <c r="O29" s="8"/>
      <c r="P29" s="8"/>
    </row>
    <row r="30" spans="1:16" s="10" customFormat="1" ht="14.25">
      <c r="A30" s="8"/>
      <c r="B30" s="1006" t="s">
        <v>670</v>
      </c>
      <c r="C30" s="1006"/>
      <c r="D30" s="1006"/>
      <c r="E30" s="639">
        <f>-('Lokalna produkcja energii'!H40+'Lokalna produkcja energii'!I40)</f>
        <v>0</v>
      </c>
      <c r="F30" s="629">
        <f>-IF('Lokalna produkcja energii'!G40+'Lokalna produkcja energii'!H40+'Lokalna produkcja energii'!I40=0,0,('Lokalna produkcja energii'!J40*(1-('Lokalna produkcja energii'!G40/('Lokalna produkcja energii'!G40+'Lokalna produkcja energii'!H40+'Lokalna produkcja energii'!I40)))))</f>
        <v>0</v>
      </c>
      <c r="G30" s="8"/>
      <c r="H30" s="8"/>
      <c r="I30" s="8"/>
      <c r="J30" s="8"/>
      <c r="K30" s="8"/>
      <c r="L30" s="8"/>
      <c r="M30" s="8"/>
      <c r="N30" s="8"/>
      <c r="O30" s="8"/>
      <c r="P30" s="8"/>
    </row>
    <row r="31" spans="1:16" s="10" customFormat="1" ht="15">
      <c r="A31" s="8"/>
      <c r="B31" s="1007" t="s">
        <v>673</v>
      </c>
      <c r="C31" s="1007"/>
      <c r="D31" s="1007"/>
      <c r="E31" s="636">
        <f>SUM(E28:E30)</f>
        <v>1224644.4596433116</v>
      </c>
      <c r="F31" s="637">
        <f>SUM(F28:F30)</f>
        <v>396786.00349533657</v>
      </c>
      <c r="G31" s="8"/>
      <c r="H31" s="8"/>
      <c r="I31" s="8"/>
      <c r="J31" s="8"/>
      <c r="K31" s="8"/>
      <c r="L31" s="8"/>
      <c r="M31" s="8"/>
      <c r="N31" s="8"/>
      <c r="O31" s="8"/>
      <c r="P31" s="8"/>
    </row>
    <row r="32" spans="1:16" s="10" customFormat="1" ht="14.25">
      <c r="A32" s="8"/>
      <c r="B32" s="8"/>
      <c r="C32" s="415"/>
      <c r="D32" s="415"/>
      <c r="E32" s="415"/>
      <c r="F32" s="8"/>
      <c r="G32" s="8"/>
      <c r="H32" s="8"/>
      <c r="I32" s="8"/>
      <c r="J32" s="8"/>
      <c r="K32" s="8"/>
      <c r="L32" s="8"/>
      <c r="M32" s="8"/>
      <c r="N32" s="8"/>
      <c r="O32" s="8"/>
      <c r="P32" s="8"/>
    </row>
    <row r="33" spans="1:16" s="10" customFormat="1" ht="14.25">
      <c r="A33" s="8"/>
      <c r="B33" s="8"/>
      <c r="C33" s="415"/>
      <c r="D33" s="415"/>
      <c r="E33" s="415"/>
      <c r="F33" s="415"/>
      <c r="G33" s="8"/>
      <c r="H33" s="8"/>
      <c r="I33" s="8"/>
      <c r="J33" s="8"/>
      <c r="K33" s="8"/>
      <c r="L33" s="8"/>
      <c r="M33" s="8"/>
      <c r="N33" s="8"/>
      <c r="O33" s="8"/>
      <c r="P33" s="8"/>
    </row>
    <row r="34" spans="1:16" s="10" customFormat="1" ht="15">
      <c r="A34" s="8"/>
      <c r="B34" s="50" t="s">
        <v>681</v>
      </c>
      <c r="C34" s="415"/>
      <c r="D34" s="415"/>
      <c r="E34" s="415"/>
      <c r="F34" s="8"/>
      <c r="G34" s="8"/>
      <c r="H34" s="8"/>
      <c r="I34" s="8"/>
      <c r="J34" s="8"/>
      <c r="K34" s="8"/>
      <c r="L34" s="8"/>
      <c r="M34" s="8"/>
      <c r="N34" s="8"/>
      <c r="O34" s="8"/>
      <c r="P34" s="8"/>
    </row>
    <row r="35" spans="1:16" s="10" customFormat="1" ht="45">
      <c r="A35" s="8"/>
      <c r="B35" s="640" t="s">
        <v>115</v>
      </c>
      <c r="C35" s="641" t="s">
        <v>678</v>
      </c>
      <c r="D35" s="642" t="s">
        <v>677</v>
      </c>
      <c r="E35" s="623" t="s">
        <v>531</v>
      </c>
      <c r="F35" s="624" t="s">
        <v>412</v>
      </c>
      <c r="G35" s="8"/>
      <c r="H35" s="8"/>
      <c r="I35" s="8"/>
      <c r="J35" s="8"/>
      <c r="K35" s="8"/>
      <c r="L35" s="8"/>
      <c r="M35" s="8"/>
      <c r="N35" s="8"/>
      <c r="O35" s="8"/>
      <c r="P35" s="8"/>
    </row>
    <row r="36" spans="1:16" s="10" customFormat="1" ht="15">
      <c r="A36" s="8"/>
      <c r="B36" s="643" t="s">
        <v>674</v>
      </c>
      <c r="C36" s="644" t="s">
        <v>676</v>
      </c>
      <c r="D36" s="422"/>
      <c r="E36" s="645">
        <f>E26</f>
        <v>1090206.8868829999</v>
      </c>
      <c r="F36" s="646">
        <f>F26</f>
        <v>1097202.7832043238</v>
      </c>
      <c r="G36" s="8"/>
      <c r="H36" s="8"/>
      <c r="I36" s="8"/>
      <c r="J36" s="8"/>
      <c r="K36" s="8"/>
      <c r="L36" s="8"/>
      <c r="M36" s="8"/>
      <c r="N36" s="8"/>
      <c r="O36" s="8"/>
      <c r="P36" s="8"/>
    </row>
    <row r="37" spans="1:16" s="10" customFormat="1" ht="15">
      <c r="A37" s="8"/>
      <c r="B37" s="520" t="s">
        <v>675</v>
      </c>
      <c r="C37" s="647" t="s">
        <v>676</v>
      </c>
      <c r="D37" s="387"/>
      <c r="E37" s="648">
        <f>E31</f>
        <v>1224644.4596433116</v>
      </c>
      <c r="F37" s="522">
        <f>F31</f>
        <v>396786.00349533657</v>
      </c>
      <c r="G37" s="8"/>
      <c r="H37" s="8"/>
      <c r="I37" s="8"/>
      <c r="J37" s="8"/>
      <c r="K37" s="8"/>
      <c r="L37" s="8"/>
      <c r="M37" s="8"/>
      <c r="N37" s="8"/>
      <c r="O37" s="8"/>
      <c r="P37" s="8"/>
    </row>
    <row r="38" spans="1:16" s="10" customFormat="1" ht="14.25">
      <c r="A38" s="8"/>
      <c r="B38" s="385" t="s">
        <v>514</v>
      </c>
      <c r="C38" s="647">
        <f>'Spo-Mieszkalny'!C11+'Spo-Uslugi'!C11+'Spo-Przemysł'!C11+'Lokalna produkcja energii'!T40</f>
        <v>68015173.03168264</v>
      </c>
      <c r="D38" s="387" t="s">
        <v>46</v>
      </c>
      <c r="E38" s="648">
        <f>'Spo-Mieszkalny'!E11+'Spo-Uslugi'!E11+'Spo-Przemysł'!E11+'Lokalna produkcja energii'!V40</f>
        <v>681857.5644594956</v>
      </c>
      <c r="F38" s="522">
        <f>'Spo-Mieszkalny'!F11+'Spo-Uslugi'!F11+'Spo-Przemysł'!F11+'Lokalna produkcja energii'!W40</f>
        <v>493266.4163615217</v>
      </c>
      <c r="G38" s="8"/>
      <c r="H38" s="8"/>
      <c r="I38" s="8"/>
      <c r="J38" s="8"/>
      <c r="K38" s="8"/>
      <c r="L38" s="8"/>
      <c r="M38" s="8"/>
      <c r="N38" s="8"/>
      <c r="O38" s="8"/>
      <c r="P38" s="8"/>
    </row>
    <row r="39" spans="1:16" s="10" customFormat="1" ht="14.25">
      <c r="A39" s="8"/>
      <c r="B39" s="385" t="s">
        <v>398</v>
      </c>
      <c r="C39" s="647">
        <f>'Spo-Mieszkalny'!C12+'Spo-Uslugi'!C12+'Spo-Przemysł'!C12+'Lokalna produkcja energii'!X40</f>
        <v>0</v>
      </c>
      <c r="D39" s="387" t="s">
        <v>46</v>
      </c>
      <c r="E39" s="648">
        <f>'Spo-Mieszkalny'!E12+'Spo-Uslugi'!E12+'Spo-Przemysł'!E12+'Lokalna produkcja energii'!Z40</f>
        <v>0</v>
      </c>
      <c r="F39" s="522">
        <f>'Spo-Mieszkalny'!F12+'Spo-Uslugi'!F12+'Spo-Przemysł'!F12+'Lokalna produkcja energii'!AA40</f>
        <v>0</v>
      </c>
      <c r="G39" s="8"/>
      <c r="H39" s="8"/>
      <c r="I39" s="8"/>
      <c r="J39" s="8"/>
      <c r="K39" s="8"/>
      <c r="L39" s="8"/>
      <c r="M39" s="8"/>
      <c r="N39" s="8"/>
      <c r="O39" s="8"/>
      <c r="P39" s="8"/>
    </row>
    <row r="40" spans="1:16" s="10" customFormat="1" ht="14.25">
      <c r="A40" s="8"/>
      <c r="B40" s="385" t="s">
        <v>465</v>
      </c>
      <c r="C40" s="647">
        <f>'Spo-Mieszkalny'!C14+'Spo-Uslugi'!C14+'Spo-Przemysł'!C14+'Lokalna produkcja energii'!AB40</f>
        <v>5478147</v>
      </c>
      <c r="D40" s="387" t="s">
        <v>47</v>
      </c>
      <c r="E40" s="648">
        <f>'Spo-Mieszkalny'!E14+'Spo-Uslugi'!E14+'Spo-Przemysł'!E14+'Lokalna produkcja energii'!AD40</f>
        <v>61157.913684395389</v>
      </c>
      <c r="F40" s="522">
        <f>'Spo-Mieszkalny'!F14+'Spo-Uslugi'!F14+'Spo-Przemysł'!F14+'Lokalna produkcja energii'!AE40</f>
        <v>15176.312722942828</v>
      </c>
      <c r="G40" s="8"/>
      <c r="H40" s="8"/>
      <c r="I40" s="8"/>
      <c r="J40" s="8"/>
      <c r="K40" s="8"/>
      <c r="L40" s="8"/>
      <c r="M40" s="8"/>
      <c r="N40" s="8"/>
      <c r="O40" s="8"/>
      <c r="P40" s="8"/>
    </row>
    <row r="41" spans="1:16" s="10" customFormat="1" ht="14.25">
      <c r="A41" s="8"/>
      <c r="B41" s="385" t="s">
        <v>415</v>
      </c>
      <c r="C41" s="647">
        <f>'Spo-Mieszkalny'!C15+'Spo-Uslugi'!C15+'Spo-Przemysł'!C15+'Lokalna produkcja energii'!AF40+(IF(Ogolne!D9=Ogolne!$C$64,0,IF(Ogolne!D9=Ogolne!$C$65,'Com-Transportation (VKT)'!L14,'Spo-Transport (ZuzyciePaliw)'!G20)))</f>
        <v>41538832.94601924</v>
      </c>
      <c r="D41" s="387" t="s">
        <v>47</v>
      </c>
      <c r="E41" s="648">
        <f>'Spo-Mieszkalny'!E15+'Spo-Uslugi'!E15+'Spo-Przemysł'!E15+'Lokalna produkcja energii'!AH40+(IF(Ogolne!D9=Ogolne!$C$64,0,IF(Ogolne!D9=Ogolne!$C$65,'Com-Transportation (VKT)'!K14,'Spo-Transport (ZuzyciePaliw)'!H20)))</f>
        <v>499970.00849224039</v>
      </c>
      <c r="F41" s="522">
        <f>'Spo-Mieszkalny'!F15+'Spo-Uslugi'!F15+'Spo-Przemysł'!F15+'Lokalna produkcja energii'!AI40+(IF(Ogolne!D9=Ogolne!$C$64,0,IF(Ogolne!D9=Ogolne!$C$65,'Com-Transportation (VKT)'!J14,'Spo-Transport (ZuzyciePaliw)'!I20)))</f>
        <v>111208.78723777403</v>
      </c>
      <c r="G41" s="8"/>
      <c r="H41" s="8"/>
      <c r="I41" s="8"/>
      <c r="J41" s="8"/>
      <c r="K41" s="8"/>
      <c r="L41" s="8"/>
      <c r="M41" s="8"/>
      <c r="N41" s="8"/>
      <c r="O41" s="8"/>
      <c r="P41" s="8"/>
    </row>
    <row r="42" spans="1:16" s="10" customFormat="1" ht="14.25">
      <c r="A42" s="8"/>
      <c r="B42" s="385" t="s">
        <v>515</v>
      </c>
      <c r="C42" s="647">
        <f>IF(Ogolne!D9=Ogolne!$C$64,0,IF(Ogolne!D9=Ogolne!$C$65,'Com-Transportation (VKT)'!L15,'Spo-Transport (ZuzyciePaliw)'!G20))</f>
        <v>41538832.94601924</v>
      </c>
      <c r="D42" s="387" t="s">
        <v>47</v>
      </c>
      <c r="E42" s="648">
        <f>IF(Ogolne!D9=Ogolne!$C$64,0,IF(Ogolne!D9=Ogolne!$C$65,'Com-Transportation (VKT)'!K15,'Spo-Transport (ZuzyciePaliw)'!W20))</f>
        <v>0</v>
      </c>
      <c r="F42" s="522">
        <f>(IF(E6=Ogolne!$C$64,0,IF(E6=Ogolne!$C$65,'Com-Transportation (VKT)'!J15,'Spo-Transport (ZuzyciePaliw)'!X20)))</f>
        <v>0</v>
      </c>
      <c r="G42" s="8"/>
      <c r="H42" s="8"/>
      <c r="I42" s="8"/>
      <c r="J42" s="8"/>
      <c r="K42" s="8"/>
      <c r="L42" s="8"/>
      <c r="M42" s="8"/>
      <c r="N42" s="8"/>
      <c r="O42" s="8"/>
      <c r="P42" s="8"/>
    </row>
    <row r="43" spans="1:16" s="10" customFormat="1" ht="14.25">
      <c r="A43" s="8"/>
      <c r="B43" s="385" t="s">
        <v>413</v>
      </c>
      <c r="C43" s="647">
        <f>IF(Ogolne!D9=Ogolne!$C$64,0,IF(Ogolne!D9=Ogolne!$C$65,'Com-Transportation (VKT)'!L13,'Spo-Transport (ZuzyciePaliw)'!D20))</f>
        <v>168345243.608785</v>
      </c>
      <c r="D43" s="387" t="s">
        <v>47</v>
      </c>
      <c r="E43" s="648">
        <f>IF(Ogolne!D9=Ogolne!$C$64,0,IF(Ogolne!D9=Ogolne!$C$65,'Com-Transportation (VKT)'!K13,'Spo-Transport (ZuzyciePaliw)'!E20))</f>
        <v>2094979.7912802435</v>
      </c>
      <c r="F43" s="522">
        <f>IF(Ogolne!D9=Ogolne!$C$64,0,IF(Ogolne!D9=Ogolne!$C$65,'Com-Transportation (VKT)'!J13,'Spo-Transport (ZuzyciePaliw)'!F20))</f>
        <v>403793.44002481131</v>
      </c>
      <c r="G43" s="8"/>
      <c r="H43" s="8"/>
      <c r="I43" s="8"/>
      <c r="J43" s="8"/>
      <c r="K43" s="8"/>
      <c r="L43" s="8"/>
      <c r="M43" s="8"/>
      <c r="N43" s="8"/>
      <c r="O43" s="8"/>
      <c r="P43" s="8"/>
    </row>
    <row r="44" spans="1:16" s="10" customFormat="1" ht="14.25">
      <c r="A44" s="8"/>
      <c r="B44" s="385" t="s">
        <v>420</v>
      </c>
      <c r="C44" s="647">
        <f>IF(Ogolne!D9=Ogolne!$C$64,0,IF(Ogolne!D9=Ogolne!$C$65,'Com-Transportation (VKT)'!L19,'Spo-Transport (ZuzyciePaliw)'!S20))</f>
        <v>0</v>
      </c>
      <c r="D44" s="392" t="s">
        <v>47</v>
      </c>
      <c r="E44" s="648">
        <f>IF(Ogolne!D9=Ogolne!$C$64,0,IF(Ogolne!D9=Ogolne!$C$65,'Com-Transportation (VKT)'!K19,'Spo-Transport (ZuzyciePaliw)'!T20))</f>
        <v>0</v>
      </c>
      <c r="F44" s="522">
        <f>(IF(E6=Ogolne!$C$64,0,IF(E6=Ogolne!$C$65,'Com-Transportation (VKT)'!J19,'Spo-Transport (ZuzyciePaliw)'!U20)))</f>
        <v>0</v>
      </c>
      <c r="G44" s="8"/>
      <c r="H44" s="8"/>
      <c r="I44" s="8"/>
      <c r="J44" s="8"/>
      <c r="K44" s="8"/>
      <c r="L44" s="8"/>
      <c r="M44" s="8"/>
      <c r="N44" s="8"/>
      <c r="O44" s="8"/>
      <c r="P44" s="8"/>
    </row>
    <row r="45" spans="1:16" s="10" customFormat="1" ht="14.25">
      <c r="A45" s="8"/>
      <c r="B45" s="385" t="s">
        <v>357</v>
      </c>
      <c r="C45" s="647">
        <f>'Spo-Mieszkalny'!C16+'Spo-Uslugi'!C16+'Spo-Przemysł'!C16</f>
        <v>0</v>
      </c>
      <c r="D45" s="392" t="s">
        <v>47</v>
      </c>
      <c r="E45" s="648">
        <f>'Spo-Mieszkalny'!E16+'Spo-Uslugi'!E16+'Spo-Przemysł'!E16</f>
        <v>0</v>
      </c>
      <c r="F45" s="522">
        <f>'Spo-Mieszkalny'!F16+'Spo-Uslugi'!F16+'Spo-Przemysł'!F16</f>
        <v>0</v>
      </c>
      <c r="G45" s="8"/>
      <c r="H45" s="8"/>
      <c r="I45" s="8"/>
      <c r="J45" s="8"/>
      <c r="K45" s="8"/>
      <c r="L45" s="8"/>
      <c r="M45" s="8"/>
      <c r="N45" s="8"/>
      <c r="O45" s="8"/>
      <c r="P45" s="8"/>
    </row>
    <row r="46" spans="1:16" s="10" customFormat="1" ht="14.25">
      <c r="A46" s="8"/>
      <c r="B46" s="391" t="s">
        <v>354</v>
      </c>
      <c r="C46" s="647">
        <f>'Spo-Mieszkalny'!C17+'Spo-Uslugi'!C17+'Spo-Przemysł'!C17+'Lokalna produkcja energii'!AJ40</f>
        <v>116826</v>
      </c>
      <c r="D46" s="392" t="s">
        <v>519</v>
      </c>
      <c r="E46" s="648">
        <f>'Spo-Mieszkalny'!E17+'Spo-Uslugi'!E17+'Spo-Przemysł'!E17+'Lokalna produkcja energii'!AL40</f>
        <v>826875.08161440003</v>
      </c>
      <c r="F46" s="522">
        <f>'Spo-Mieszkalny'!F17+'Spo-Uslugi'!F17+'Spo-Przemysł'!F17+'Lokalna produkcja energii'!AM40</f>
        <v>279812.28911999997</v>
      </c>
      <c r="G46" s="8"/>
      <c r="H46" s="8"/>
      <c r="I46" s="8"/>
      <c r="J46" s="8"/>
      <c r="K46" s="8"/>
      <c r="L46" s="8"/>
      <c r="M46" s="8"/>
      <c r="N46" s="8"/>
      <c r="O46" s="8"/>
      <c r="P46" s="8"/>
    </row>
    <row r="47" spans="1:16" s="10" customFormat="1" ht="14.25">
      <c r="A47" s="8"/>
      <c r="B47" s="391" t="s">
        <v>516</v>
      </c>
      <c r="C47" s="647">
        <f>'Spo-Mieszkalny'!C18+'Spo-Uslugi'!C18+'Spo-Przemysł'!C18+'Lokalna produkcja energii'!AN40</f>
        <v>0</v>
      </c>
      <c r="D47" s="392" t="s">
        <v>519</v>
      </c>
      <c r="E47" s="648">
        <f>'Spo-Mieszkalny'!E18+'Spo-Uslugi'!E18+'Spo-Przemysł'!E18+'Lokalna produkcja energii'!AP40</f>
        <v>0</v>
      </c>
      <c r="F47" s="522">
        <f>'Spo-Mieszkalny'!F18+'Spo-Uslugi'!F18+'Spo-Przemysł'!F18+'Lokalna produkcja energii'!AQ40</f>
        <v>0</v>
      </c>
      <c r="G47" s="8"/>
      <c r="H47" s="8"/>
      <c r="I47" s="8"/>
      <c r="J47" s="8"/>
      <c r="K47" s="8"/>
      <c r="L47" s="8"/>
      <c r="M47" s="8"/>
      <c r="N47" s="8"/>
      <c r="O47" s="8"/>
      <c r="P47" s="8"/>
    </row>
    <row r="48" spans="1:16" s="10" customFormat="1" ht="14.25">
      <c r="A48" s="8"/>
      <c r="B48" s="391" t="s">
        <v>517</v>
      </c>
      <c r="C48" s="647">
        <f>'Spo-Przemysł'!C19+'Lokalna produkcja energii'!AR40</f>
        <v>120.55</v>
      </c>
      <c r="D48" s="392" t="s">
        <v>519</v>
      </c>
      <c r="E48" s="648">
        <f>'Spo-Przemysł'!E19+'Lokalna produkcja energii'!AT40</f>
        <v>944.31588779999981</v>
      </c>
      <c r="F48" s="522">
        <f>'Spo-Przemysł'!F19+'Lokalna produkcja energii'!AU40</f>
        <v>360.34805999999998</v>
      </c>
      <c r="G48" s="8"/>
      <c r="H48" s="8"/>
      <c r="I48" s="8"/>
      <c r="J48" s="8"/>
      <c r="K48" s="8"/>
      <c r="L48" s="8"/>
      <c r="M48" s="8"/>
      <c r="N48" s="8"/>
      <c r="O48" s="8"/>
      <c r="P48" s="8"/>
    </row>
    <row r="49" spans="1:16" s="10" customFormat="1" ht="14.25">
      <c r="A49" s="8"/>
      <c r="B49" s="391" t="s">
        <v>49</v>
      </c>
      <c r="C49" s="647">
        <f>IF(Ogolne!D9=Ogolne!$C$64,0,IF(Ogolne!D9=Ogolne!$C$65,'Com-Transportation (VKT)'!L17,'Spo-Transport (ZuzyciePaliw)'!J20))</f>
        <v>0</v>
      </c>
      <c r="D49" s="392" t="s">
        <v>47</v>
      </c>
      <c r="E49" s="648">
        <f>IF(Ogolne!D9=Ogolne!$C$64,0,IF(Ogolne!D9=Ogolne!$C$65,'Com-Transportation (VKT)'!K17,'Spo-Transport (ZuzyciePaliw)'!K20))</f>
        <v>0</v>
      </c>
      <c r="F49" s="522">
        <f>(IF(Ogolne!D9=Ogolne!$C$64,0,IF(Ogolne!D9=Ogolne!$C$65,'Com-Transportation (VKT)'!J17,'Spo-Transport (ZuzyciePaliw)'!L20)))</f>
        <v>0</v>
      </c>
      <c r="G49" s="281"/>
      <c r="H49" s="8"/>
      <c r="I49" s="8"/>
      <c r="J49" s="8"/>
      <c r="K49" s="8"/>
      <c r="L49" s="8"/>
      <c r="M49" s="8"/>
      <c r="N49" s="8"/>
      <c r="O49" s="8"/>
      <c r="P49" s="8"/>
    </row>
    <row r="50" spans="1:16" s="10" customFormat="1" ht="14.25">
      <c r="A50" s="8"/>
      <c r="B50" s="391" t="s">
        <v>419</v>
      </c>
      <c r="C50" s="647">
        <f>'Spo-Mieszkalny'!C19+'Spo-Uslugi'!C19+'Spo-Przemysł'!C21+(IF(Ogolne!D9=Ogolne!$C$64,0,IF(Ogolne!D9=Ogolne!$C$65,'Com-Transportation (VKT)'!L18,'Spo-Transport (ZuzyciePaliw)'!P20)))</f>
        <v>32592379.156461485</v>
      </c>
      <c r="D50" s="392" t="s">
        <v>47</v>
      </c>
      <c r="E50" s="648">
        <f>'Spo-Mieszkalny'!E19+'Spo-Uslugi'!E19+'Spo-Przemysł'!E21+(IF(Ogolne!D9=Ogolne!$C$64,0,IF(Ogolne!D9=Ogolne!$C$65,'Com-Transportation (VKT)'!K18,'Spo-Transport (ZuzyciePaliw)'!Q20)))</f>
        <v>239918.04367516958</v>
      </c>
      <c r="F50" s="522">
        <f>'Spo-Mieszkalny'!F19+'Spo-Uslugi'!F19+'Spo-Przemysł'!F21+(IF(E6=Ogolne!$C$64,0,IF(E6=Ogolne!$C$65,'Com-Transportation (VKT)'!J18,'Spo-Transport (ZuzyciePaliw)'!R20)))</f>
        <v>54924.286245919015</v>
      </c>
      <c r="G50" s="281"/>
      <c r="H50" s="8"/>
      <c r="I50" s="8"/>
      <c r="J50" s="8"/>
      <c r="K50" s="8"/>
      <c r="L50" s="8"/>
      <c r="M50" s="8"/>
      <c r="N50" s="8"/>
      <c r="O50" s="8"/>
      <c r="P50" s="8"/>
    </row>
    <row r="51" spans="1:16" s="10" customFormat="1" ht="14.25">
      <c r="A51" s="8"/>
      <c r="B51" s="391" t="s">
        <v>358</v>
      </c>
      <c r="C51" s="647">
        <f>'Spo-Mieszkalny'!C20+'Spo-Uslugi'!C20+'Spo-Przemysł'!C22+'Lokalna produkcja energii'!T23</f>
        <v>3057.3</v>
      </c>
      <c r="D51" s="392" t="s">
        <v>519</v>
      </c>
      <c r="E51" s="648">
        <f>'Spo-Mieszkalny'!E20+'Spo-Uslugi'!E20+'Spo-Przemysł'!E22+'Lokalna produkcja energii'!V23</f>
        <v>16985.135879999998</v>
      </c>
      <c r="F51" s="522">
        <f>'Spo-Mieszkalny'!F20+'Spo-Uslugi'!F20+'Spo-Przemysł'!F22+'Lokalna produkcja energii'!W23</f>
        <v>2.078964</v>
      </c>
      <c r="G51" s="281"/>
      <c r="H51" s="8"/>
      <c r="I51" s="8"/>
      <c r="J51" s="8"/>
      <c r="K51" s="8"/>
      <c r="L51" s="8"/>
      <c r="M51" s="8"/>
      <c r="N51" s="8"/>
      <c r="O51" s="8"/>
      <c r="P51" s="8"/>
    </row>
    <row r="52" spans="1:16" s="10" customFormat="1" ht="14.25">
      <c r="A52" s="8"/>
      <c r="B52" s="391" t="s">
        <v>464</v>
      </c>
      <c r="C52" s="649">
        <f>'Lokalna produkcja energii'!AB23+IF(Ogolne!$D$9=Ogolne!$C$64,0,IF(Ogolne!$D$9=Ogolne!$C$65,'Com-Transportation (VKT)'!L17,'Spo-Transport (ZuzyciePaliw)'!M20))</f>
        <v>621649</v>
      </c>
      <c r="D52" s="392" t="s">
        <v>46</v>
      </c>
      <c r="E52" s="482">
        <f>'Lokalna produkcja energii'!AD23+IF(Ogolne!$D$9=Ogolne!$C$64,0,IF(Ogolne!$D$9=Ogolne!$C$65,'Com-Transportation (VKT)'!K17,'Spo-Transport (ZuzyciePaliw)'!N20))</f>
        <v>6510.0985525940005</v>
      </c>
      <c r="F52" s="650">
        <f>'Lokalna produkcja energii'!AE23+IF(Ogolne!D9=Ogolne!$C$64,0,IF(Ogolne!D9=Ogolne!$C$65,'Com-Transportation (VKT)'!J17,'Spo-Transport (ZuzyciePaliw)'!O20))</f>
        <v>4606.5761918784656</v>
      </c>
      <c r="G52" s="281"/>
      <c r="H52" s="8"/>
      <c r="I52" s="8"/>
      <c r="J52" s="8"/>
      <c r="K52" s="8"/>
      <c r="L52" s="8"/>
      <c r="M52" s="8"/>
      <c r="N52" s="8"/>
      <c r="O52" s="8"/>
      <c r="P52" s="8"/>
    </row>
    <row r="53" spans="1:16" s="10" customFormat="1" ht="14.25">
      <c r="A53" s="8"/>
      <c r="B53" s="391" t="s">
        <v>518</v>
      </c>
      <c r="C53" s="651">
        <f>'Spo-Przemysł'!C20+'Lokalna produkcja energii'!X23</f>
        <v>0</v>
      </c>
      <c r="D53" s="392" t="s">
        <v>519</v>
      </c>
      <c r="E53" s="648">
        <f>'Spo-Przemysł'!E20+'Lokalna produkcja energii'!Z23</f>
        <v>0</v>
      </c>
      <c r="F53" s="650">
        <f>'Spo-Przemysł'!F20+'Lokalna produkcja energii'!AA23</f>
        <v>0</v>
      </c>
      <c r="G53" s="281"/>
      <c r="H53" s="8"/>
      <c r="I53" s="8"/>
      <c r="J53" s="8"/>
      <c r="K53" s="8"/>
      <c r="L53" s="8"/>
      <c r="M53" s="8"/>
      <c r="N53" s="8"/>
      <c r="O53" s="8"/>
      <c r="P53" s="8"/>
    </row>
    <row r="54" spans="1:16" s="10" customFormat="1" ht="14.25">
      <c r="A54" s="8"/>
      <c r="B54" s="391" t="s">
        <v>679</v>
      </c>
      <c r="C54" s="652">
        <f>'Spo-Odpady'!D15</f>
        <v>66132.234197999991</v>
      </c>
      <c r="D54" s="392" t="s">
        <v>519</v>
      </c>
      <c r="E54" s="482"/>
      <c r="F54" s="650">
        <f>'Spo-Odpady'!E15</f>
        <v>42754.489409006994</v>
      </c>
      <c r="G54" s="281"/>
      <c r="H54" s="8"/>
      <c r="I54" s="8"/>
      <c r="J54" s="8"/>
      <c r="K54" s="8"/>
      <c r="L54" s="8"/>
      <c r="M54" s="8"/>
      <c r="N54" s="8"/>
      <c r="O54" s="8"/>
      <c r="P54" s="8"/>
    </row>
    <row r="55" spans="1:16" s="10" customFormat="1" ht="14.25">
      <c r="A55" s="8"/>
      <c r="B55" s="391" t="s">
        <v>663</v>
      </c>
      <c r="C55" s="652">
        <f>Rolnictwo!C22</f>
        <v>3919</v>
      </c>
      <c r="D55" s="392" t="s">
        <v>683</v>
      </c>
      <c r="E55" s="482"/>
      <c r="F55" s="650">
        <f>Rolnictwo!G11</f>
        <v>68730.456551088166</v>
      </c>
      <c r="G55" s="281"/>
      <c r="H55" s="8"/>
      <c r="I55" s="8"/>
      <c r="J55" s="8"/>
      <c r="K55" s="8"/>
      <c r="L55" s="8"/>
      <c r="M55" s="8"/>
      <c r="N55" s="8"/>
      <c r="O55" s="8"/>
      <c r="P55" s="8"/>
    </row>
    <row r="56" spans="1:16" s="10" customFormat="1" ht="14.25">
      <c r="A56" s="8"/>
      <c r="B56" s="391" t="s">
        <v>680</v>
      </c>
      <c r="C56" s="652">
        <f>'Spo-Przemysł'!D37</f>
        <v>0</v>
      </c>
      <c r="D56" s="392" t="s">
        <v>116</v>
      </c>
      <c r="E56" s="482"/>
      <c r="F56" s="650">
        <f>'Spo-Przemysł'!F37</f>
        <v>0</v>
      </c>
      <c r="G56" s="281"/>
      <c r="H56" s="8"/>
      <c r="I56" s="8"/>
      <c r="J56" s="8"/>
      <c r="K56" s="8"/>
      <c r="L56" s="8"/>
      <c r="M56" s="8"/>
      <c r="N56" s="8"/>
      <c r="O56" s="8"/>
      <c r="P56" s="8"/>
    </row>
    <row r="57" spans="1:16" s="10" customFormat="1" ht="15">
      <c r="A57" s="8"/>
      <c r="B57" s="397" t="s">
        <v>440</v>
      </c>
      <c r="C57" s="653"/>
      <c r="D57" s="654"/>
      <c r="E57" s="655">
        <f>SUM(E36:E56)</f>
        <v>6744049.3000526512</v>
      </c>
      <c r="F57" s="656">
        <f>SUM(F36:F56)</f>
        <v>2968624.2675886028</v>
      </c>
      <c r="G57" s="281"/>
      <c r="H57" s="8"/>
      <c r="I57" s="8"/>
      <c r="J57" s="8"/>
      <c r="K57" s="8"/>
      <c r="L57" s="8"/>
      <c r="M57" s="8"/>
      <c r="N57" s="8"/>
      <c r="O57" s="8"/>
      <c r="P57" s="8"/>
    </row>
    <row r="58" spans="1:16" s="10" customFormat="1" ht="14.25">
      <c r="A58" s="8"/>
      <c r="B58" s="281"/>
      <c r="C58" s="657"/>
      <c r="D58" s="657"/>
      <c r="E58" s="657"/>
      <c r="F58" s="281"/>
      <c r="G58" s="281"/>
      <c r="H58" s="8"/>
      <c r="I58" s="8"/>
      <c r="J58" s="8"/>
      <c r="K58" s="8"/>
      <c r="L58" s="8"/>
      <c r="M58" s="8"/>
      <c r="N58" s="8"/>
      <c r="O58" s="8"/>
      <c r="P58" s="8"/>
    </row>
    <row r="59" spans="1:16" s="10" customFormat="1" ht="14.25">
      <c r="A59" s="657"/>
      <c r="B59" s="281"/>
      <c r="C59" s="657"/>
      <c r="D59" s="657"/>
      <c r="E59" s="657"/>
      <c r="F59" s="281"/>
      <c r="G59" s="281"/>
      <c r="H59" s="8"/>
      <c r="I59" s="8"/>
      <c r="J59" s="8"/>
      <c r="K59" s="8"/>
      <c r="L59" s="8"/>
      <c r="M59" s="8"/>
      <c r="N59" s="8"/>
      <c r="O59" s="8"/>
      <c r="P59" s="8"/>
    </row>
    <row r="60" spans="1:16" s="10" customFormat="1" ht="14.25">
      <c r="A60" s="657"/>
      <c r="B60" s="551"/>
      <c r="D60" s="551"/>
      <c r="E60" s="657"/>
      <c r="F60" s="657"/>
      <c r="G60" s="281"/>
      <c r="H60" s="8"/>
      <c r="I60" s="8"/>
      <c r="J60" s="8"/>
      <c r="K60" s="8"/>
      <c r="L60" s="8"/>
      <c r="M60" s="8"/>
      <c r="N60" s="8"/>
      <c r="O60" s="8"/>
      <c r="P60" s="8"/>
    </row>
    <row r="61" spans="1:16" s="10" customFormat="1" ht="14.25">
      <c r="A61" s="657"/>
      <c r="B61" s="551"/>
      <c r="C61" s="551"/>
      <c r="D61" s="551"/>
      <c r="E61" s="551"/>
      <c r="F61" s="657"/>
      <c r="G61" s="281"/>
      <c r="H61" s="8"/>
      <c r="I61" s="8"/>
      <c r="J61" s="8"/>
      <c r="K61" s="8"/>
      <c r="L61" s="8"/>
      <c r="M61" s="8"/>
      <c r="N61" s="8"/>
      <c r="O61" s="8"/>
      <c r="P61" s="8"/>
    </row>
    <row r="62" spans="1:16">
      <c r="A62" s="551"/>
      <c r="B62" s="551"/>
      <c r="C62" s="551"/>
      <c r="D62" s="551"/>
      <c r="E62" s="551"/>
      <c r="F62" s="551"/>
      <c r="G62" s="279"/>
      <c r="H62" s="146"/>
      <c r="I62" s="146"/>
      <c r="J62" s="146"/>
      <c r="K62" s="146"/>
      <c r="L62" s="146"/>
      <c r="M62" s="146"/>
      <c r="N62" s="146"/>
      <c r="O62" s="146"/>
      <c r="P62" s="146"/>
    </row>
    <row r="63" spans="1:16">
      <c r="A63" s="551"/>
      <c r="B63" s="551"/>
      <c r="C63" s="551"/>
      <c r="D63" s="551"/>
      <c r="E63" s="551"/>
      <c r="F63" s="551"/>
      <c r="G63" s="279"/>
      <c r="H63" s="146"/>
      <c r="I63" s="146"/>
      <c r="J63" s="146"/>
      <c r="K63" s="146"/>
      <c r="L63" s="146"/>
      <c r="M63" s="146"/>
      <c r="N63" s="146"/>
      <c r="O63" s="146"/>
      <c r="P63" s="146"/>
    </row>
    <row r="64" spans="1:16">
      <c r="A64" s="551"/>
      <c r="B64" s="551"/>
      <c r="C64" s="551"/>
      <c r="D64" s="551"/>
      <c r="E64" s="551"/>
      <c r="F64" s="551"/>
      <c r="G64" s="279"/>
      <c r="H64" s="146"/>
      <c r="I64" s="146"/>
      <c r="J64" s="146"/>
      <c r="K64" s="146"/>
      <c r="L64" s="146"/>
      <c r="M64" s="146"/>
      <c r="N64" s="146"/>
      <c r="O64" s="146"/>
      <c r="P64" s="146"/>
    </row>
    <row r="65" spans="1:16">
      <c r="A65" s="551"/>
      <c r="B65" s="551"/>
      <c r="C65" s="551"/>
      <c r="D65" s="551"/>
      <c r="E65" s="551"/>
      <c r="F65" s="551"/>
      <c r="G65" s="279"/>
      <c r="H65" s="146"/>
      <c r="I65" s="146"/>
      <c r="J65" s="146"/>
      <c r="K65" s="146"/>
      <c r="L65" s="146"/>
      <c r="M65" s="146"/>
      <c r="N65" s="146"/>
      <c r="O65" s="146"/>
      <c r="P65" s="146"/>
    </row>
    <row r="66" spans="1:16">
      <c r="A66" s="551"/>
      <c r="B66" s="551"/>
      <c r="C66" s="551"/>
      <c r="D66" s="551"/>
      <c r="E66" s="551"/>
      <c r="F66" s="551"/>
      <c r="G66" s="279"/>
      <c r="H66" s="146"/>
      <c r="I66" s="146"/>
      <c r="J66" s="146"/>
      <c r="K66" s="146"/>
      <c r="L66" s="146"/>
      <c r="M66" s="146"/>
      <c r="N66" s="146"/>
      <c r="O66" s="146"/>
      <c r="P66" s="146"/>
    </row>
    <row r="67" spans="1:16">
      <c r="A67" s="551"/>
      <c r="B67" s="551"/>
      <c r="C67" s="551"/>
      <c r="D67" s="551"/>
      <c r="E67" s="551"/>
      <c r="F67" s="551"/>
      <c r="G67" s="279"/>
      <c r="H67" s="146"/>
      <c r="I67" s="146"/>
      <c r="J67" s="146"/>
      <c r="K67" s="146"/>
      <c r="L67" s="146"/>
      <c r="M67" s="146"/>
      <c r="N67" s="146"/>
      <c r="O67" s="146"/>
      <c r="P67" s="146"/>
    </row>
    <row r="68" spans="1:16">
      <c r="A68" s="551"/>
      <c r="B68" s="551"/>
      <c r="C68" s="551"/>
      <c r="D68" s="551"/>
      <c r="E68" s="551"/>
      <c r="F68" s="551"/>
      <c r="G68" s="279"/>
      <c r="H68" s="146"/>
      <c r="I68" s="146"/>
      <c r="J68" s="146"/>
      <c r="K68" s="146"/>
      <c r="L68" s="146"/>
      <c r="M68" s="146"/>
      <c r="N68" s="146"/>
      <c r="O68" s="146"/>
      <c r="P68" s="146"/>
    </row>
    <row r="69" spans="1:16">
      <c r="A69" s="551"/>
      <c r="B69" s="551"/>
      <c r="C69" s="551"/>
      <c r="D69" s="551"/>
      <c r="E69" s="551"/>
      <c r="F69" s="551"/>
      <c r="G69" s="279"/>
      <c r="H69" s="146"/>
      <c r="I69" s="146"/>
      <c r="J69" s="146"/>
      <c r="K69" s="146"/>
      <c r="L69" s="146"/>
      <c r="M69" s="146"/>
      <c r="N69" s="146"/>
      <c r="O69" s="146"/>
      <c r="P69" s="146"/>
    </row>
    <row r="70" spans="1:16">
      <c r="A70" s="551"/>
      <c r="B70" s="551"/>
      <c r="C70" s="551"/>
      <c r="D70" s="551"/>
      <c r="E70" s="551"/>
      <c r="F70" s="551"/>
      <c r="G70" s="279"/>
      <c r="H70" s="146"/>
      <c r="I70" s="146"/>
      <c r="J70" s="146"/>
      <c r="K70" s="146"/>
      <c r="L70" s="146"/>
      <c r="M70" s="146"/>
      <c r="N70" s="146"/>
      <c r="O70" s="146"/>
      <c r="P70" s="146"/>
    </row>
    <row r="71" spans="1:16">
      <c r="A71" s="551"/>
      <c r="B71" s="551"/>
      <c r="C71" s="551"/>
      <c r="D71" s="551"/>
      <c r="E71" s="551"/>
      <c r="F71" s="551"/>
      <c r="G71" s="279"/>
      <c r="H71" s="146"/>
      <c r="I71" s="146"/>
      <c r="J71" s="146"/>
      <c r="K71" s="146"/>
      <c r="L71" s="146"/>
      <c r="M71" s="146"/>
      <c r="N71" s="146"/>
      <c r="O71" s="146"/>
      <c r="P71" s="146"/>
    </row>
    <row r="72" spans="1:16">
      <c r="A72" s="551"/>
      <c r="B72" s="551"/>
      <c r="C72" s="551"/>
      <c r="D72" s="551"/>
      <c r="E72" s="551"/>
      <c r="F72" s="551"/>
      <c r="G72" s="279"/>
      <c r="H72" s="146"/>
      <c r="I72" s="146"/>
      <c r="J72" s="146"/>
      <c r="K72" s="146"/>
      <c r="L72" s="146"/>
      <c r="M72" s="146"/>
      <c r="N72" s="146"/>
      <c r="O72" s="146"/>
      <c r="P72" s="146"/>
    </row>
    <row r="73" spans="1:16">
      <c r="A73" s="551"/>
      <c r="B73" s="551"/>
      <c r="C73" s="551"/>
      <c r="D73" s="551"/>
      <c r="E73" s="551"/>
      <c r="F73" s="551"/>
      <c r="G73" s="279"/>
      <c r="H73" s="146"/>
      <c r="I73" s="146"/>
      <c r="J73" s="146"/>
      <c r="K73" s="146"/>
      <c r="L73" s="146"/>
      <c r="M73" s="146"/>
      <c r="N73" s="146"/>
      <c r="O73" s="146"/>
      <c r="P73" s="146"/>
    </row>
    <row r="74" spans="1:16">
      <c r="B74" s="551"/>
      <c r="C74" s="551"/>
      <c r="D74" s="551"/>
      <c r="E74" s="551"/>
      <c r="F74" s="551"/>
      <c r="G74" s="279"/>
      <c r="H74" s="146"/>
      <c r="I74" s="146"/>
      <c r="J74" s="146"/>
      <c r="K74" s="146"/>
      <c r="L74" s="146"/>
      <c r="M74" s="146"/>
      <c r="N74" s="146"/>
      <c r="O74" s="146"/>
      <c r="P74" s="146"/>
    </row>
    <row r="75" spans="1:16">
      <c r="B75" s="135"/>
      <c r="C75" s="552"/>
      <c r="D75" s="552"/>
      <c r="E75" s="552"/>
      <c r="F75" s="551"/>
      <c r="G75" s="135"/>
    </row>
    <row r="76" spans="1:16">
      <c r="B76" s="135"/>
      <c r="C76" s="552"/>
      <c r="D76" s="552"/>
      <c r="E76" s="552"/>
      <c r="F76" s="135"/>
    </row>
    <row r="77" spans="1:16">
      <c r="B77" s="135"/>
      <c r="D77" s="552"/>
      <c r="E77" s="552"/>
      <c r="F77" s="135"/>
    </row>
    <row r="78" spans="1:16">
      <c r="F78" s="135"/>
    </row>
  </sheetData>
  <mergeCells count="22">
    <mergeCell ref="B12:D12"/>
    <mergeCell ref="B13:D13"/>
    <mergeCell ref="B14:D14"/>
    <mergeCell ref="B15:D15"/>
    <mergeCell ref="B2:G2"/>
    <mergeCell ref="B9:D9"/>
    <mergeCell ref="B10:D10"/>
    <mergeCell ref="B11:D11"/>
    <mergeCell ref="B22:D22"/>
    <mergeCell ref="B23:D23"/>
    <mergeCell ref="B24:D24"/>
    <mergeCell ref="B25:D25"/>
    <mergeCell ref="B16:D16"/>
    <mergeCell ref="B17:D17"/>
    <mergeCell ref="B18:D18"/>
    <mergeCell ref="B19:D19"/>
    <mergeCell ref="B30:D30"/>
    <mergeCell ref="B31:D31"/>
    <mergeCell ref="B26:D26"/>
    <mergeCell ref="B27:D27"/>
    <mergeCell ref="B28:D28"/>
    <mergeCell ref="B29:D29"/>
  </mergeCells>
  <phoneticPr fontId="37" type="noConversion"/>
  <pageMargins left="0.74791666666666667" right="0.74791666666666667" top="0.98402777777777772" bottom="0.98402777777777772" header="0.51180555555555551" footer="0.51180555555555551"/>
  <pageSetup firstPageNumber="0" orientation="landscape" horizontalDpi="300" verticalDpi="300"/>
  <headerFooter alignWithMargins="0"/>
  <drawing r:id="rId1"/>
</worksheet>
</file>

<file path=xl/worksheets/sheet21.xml><?xml version="1.0" encoding="utf-8"?>
<worksheet xmlns="http://schemas.openxmlformats.org/spreadsheetml/2006/main" xmlns:r="http://schemas.openxmlformats.org/officeDocument/2006/relationships">
  <sheetPr>
    <pageSetUpPr fitToPage="1"/>
  </sheetPr>
  <dimension ref="A1:X36"/>
  <sheetViews>
    <sheetView topLeftCell="B1" workbookViewId="0">
      <selection activeCell="E15" sqref="E15"/>
    </sheetView>
  </sheetViews>
  <sheetFormatPr defaultRowHeight="12.75"/>
  <cols>
    <col min="1" max="1" width="5.6640625" style="857" customWidth="1"/>
    <col min="2" max="2" width="31" style="857" customWidth="1"/>
    <col min="3" max="3" width="8.33203125" style="857" customWidth="1"/>
    <col min="4" max="4" width="12.1640625" style="857" customWidth="1"/>
    <col min="5" max="5" width="30" style="859" customWidth="1"/>
    <col min="6" max="6" width="10.1640625" style="859" customWidth="1"/>
    <col min="7" max="7" width="9.83203125" style="859" customWidth="1"/>
    <col min="8" max="8" width="13.33203125" style="859" customWidth="1"/>
    <col min="9" max="9" width="12.83203125" style="859" customWidth="1"/>
    <col min="10" max="10" width="13" style="859" customWidth="1"/>
    <col min="11" max="11" width="11.83203125" style="859" customWidth="1"/>
    <col min="12" max="12" width="11.6640625" style="857" customWidth="1"/>
    <col min="13" max="13" width="13" style="857" customWidth="1"/>
    <col min="14" max="14" width="13.1640625" style="857" customWidth="1"/>
    <col min="15" max="15" width="12.1640625" style="857" customWidth="1"/>
    <col min="16" max="16" width="13.1640625" style="857" customWidth="1"/>
    <col min="17" max="17" width="12.83203125" style="857" customWidth="1"/>
    <col min="18" max="18" width="11.83203125" style="857" customWidth="1"/>
    <col min="19" max="19" width="14.33203125" style="857" customWidth="1"/>
    <col min="20" max="20" width="9.1640625" style="857" customWidth="1"/>
    <col min="21" max="21" width="8.33203125" style="857" customWidth="1"/>
    <col min="22" max="16384" width="9.33203125" style="857"/>
  </cols>
  <sheetData>
    <row r="1" spans="1:16" s="854" customFormat="1" ht="18">
      <c r="B1" s="855" t="s">
        <v>685</v>
      </c>
      <c r="C1" s="855"/>
      <c r="D1" s="855"/>
      <c r="E1" s="856" t="s">
        <v>686</v>
      </c>
      <c r="F1" s="857"/>
      <c r="G1" s="857"/>
      <c r="H1" s="857"/>
      <c r="I1" s="857"/>
      <c r="J1" s="857"/>
      <c r="K1" s="857"/>
      <c r="L1" s="857"/>
      <c r="M1" s="858"/>
    </row>
    <row r="2" spans="1:16">
      <c r="D2" s="859"/>
      <c r="E2" s="860"/>
      <c r="F2" s="860"/>
      <c r="G2" s="860"/>
      <c r="H2" s="1017" t="s">
        <v>690</v>
      </c>
      <c r="I2" s="1017"/>
      <c r="J2" s="1017"/>
      <c r="K2" s="857"/>
    </row>
    <row r="3" spans="1:16" ht="14.25" customHeight="1">
      <c r="B3" s="1018" t="s">
        <v>689</v>
      </c>
      <c r="C3" s="1018"/>
      <c r="D3" s="1019" t="s">
        <v>687</v>
      </c>
      <c r="E3" s="1019"/>
      <c r="F3" s="861">
        <f>corpyear</f>
        <v>2005</v>
      </c>
      <c r="H3" s="862" t="s">
        <v>117</v>
      </c>
      <c r="I3" s="863">
        <v>3600</v>
      </c>
      <c r="J3" s="864" t="s">
        <v>118</v>
      </c>
      <c r="K3" s="860"/>
      <c r="L3" s="857" t="s">
        <v>119</v>
      </c>
      <c r="M3" s="857">
        <v>41.868000000000002</v>
      </c>
      <c r="N3" s="857" t="s">
        <v>120</v>
      </c>
      <c r="O3" s="865"/>
    </row>
    <row r="4" spans="1:16" ht="14.25" customHeight="1">
      <c r="B4" s="1018"/>
      <c r="C4" s="1018"/>
      <c r="D4" s="1019" t="s">
        <v>688</v>
      </c>
      <c r="E4" s="1019"/>
      <c r="F4" s="866">
        <f>comyear</f>
        <v>2005</v>
      </c>
      <c r="H4" s="867" t="s">
        <v>121</v>
      </c>
      <c r="I4" s="868">
        <v>277.77999999999997</v>
      </c>
      <c r="J4" s="869" t="s">
        <v>45</v>
      </c>
      <c r="K4" s="860"/>
    </row>
    <row r="5" spans="1:16" ht="14.25" customHeight="1"/>
    <row r="6" spans="1:16" s="870" customFormat="1" ht="36.75" customHeight="1">
      <c r="B6" s="871" t="s">
        <v>691</v>
      </c>
      <c r="C6" s="1015" t="s">
        <v>693</v>
      </c>
      <c r="D6" s="1015"/>
      <c r="E6" s="1015"/>
      <c r="F6" s="1015"/>
      <c r="G6" s="1015"/>
      <c r="H6" s="1015"/>
      <c r="I6" s="1015"/>
      <c r="J6" s="1016" t="s">
        <v>692</v>
      </c>
      <c r="K6" s="1016"/>
      <c r="L6" s="1016"/>
      <c r="M6" s="1016"/>
      <c r="N6" s="1016"/>
      <c r="O6" s="857"/>
    </row>
    <row r="7" spans="1:16" ht="48">
      <c r="A7" s="872"/>
      <c r="B7" s="860"/>
      <c r="C7" s="860"/>
      <c r="D7" s="873" t="s">
        <v>694</v>
      </c>
      <c r="E7" s="874" t="s">
        <v>695</v>
      </c>
      <c r="F7" s="875" t="s">
        <v>696</v>
      </c>
      <c r="G7" s="875" t="s">
        <v>697</v>
      </c>
      <c r="H7" s="875" t="s">
        <v>698</v>
      </c>
      <c r="I7" s="875" t="s">
        <v>697</v>
      </c>
      <c r="J7" s="876" t="s">
        <v>699</v>
      </c>
      <c r="K7" s="857"/>
    </row>
    <row r="8" spans="1:16">
      <c r="A8" s="872"/>
      <c r="B8" s="877" t="s">
        <v>700</v>
      </c>
      <c r="D8" s="877" t="s">
        <v>122</v>
      </c>
      <c r="E8" s="857"/>
      <c r="F8" s="878">
        <v>277.77999999999997</v>
      </c>
      <c r="G8" s="878" t="s">
        <v>123</v>
      </c>
      <c r="H8" s="857"/>
      <c r="I8" s="857"/>
      <c r="J8" s="857"/>
      <c r="K8" s="879" t="s">
        <v>124</v>
      </c>
      <c r="L8" s="879" t="s">
        <v>723</v>
      </c>
      <c r="M8" s="879" t="s">
        <v>125</v>
      </c>
      <c r="N8" s="879" t="s">
        <v>126</v>
      </c>
    </row>
    <row r="9" spans="1:16">
      <c r="A9" s="872"/>
      <c r="B9" s="880" t="s">
        <v>701</v>
      </c>
      <c r="D9" s="877"/>
      <c r="E9" s="857"/>
      <c r="F9" s="857"/>
      <c r="G9" s="857"/>
      <c r="H9" s="857"/>
      <c r="I9" s="857"/>
      <c r="J9" s="881"/>
      <c r="K9" s="857"/>
    </row>
    <row r="10" spans="1:16">
      <c r="A10" s="872"/>
      <c r="B10" s="882" t="s">
        <v>704</v>
      </c>
      <c r="C10" s="883"/>
      <c r="D10" s="884">
        <v>94</v>
      </c>
      <c r="E10" s="885" t="s">
        <v>289</v>
      </c>
      <c r="F10" s="886">
        <v>25.48</v>
      </c>
      <c r="G10" s="878" t="s">
        <v>719</v>
      </c>
      <c r="H10" s="878">
        <f>F10*F$8/1000</f>
        <v>7.0778343999999995</v>
      </c>
      <c r="I10" s="878" t="s">
        <v>720</v>
      </c>
      <c r="J10" s="883"/>
      <c r="K10" s="882"/>
      <c r="L10" s="882"/>
      <c r="M10" s="882"/>
      <c r="N10" s="878">
        <f>D10*F10/1000</f>
        <v>2.3951199999999999</v>
      </c>
    </row>
    <row r="11" spans="1:16">
      <c r="A11" s="872"/>
      <c r="B11" s="882" t="s">
        <v>705</v>
      </c>
      <c r="C11" s="882"/>
      <c r="D11" s="884">
        <v>107.76</v>
      </c>
      <c r="E11" s="885" t="s">
        <v>290</v>
      </c>
      <c r="F11" s="886">
        <v>8.76</v>
      </c>
      <c r="G11" s="878" t="s">
        <v>719</v>
      </c>
      <c r="H11" s="878">
        <f>F11*F$8/1000</f>
        <v>2.4333527999999998</v>
      </c>
      <c r="I11" s="878" t="s">
        <v>720</v>
      </c>
      <c r="J11" s="883"/>
      <c r="K11" s="882"/>
      <c r="L11" s="882"/>
      <c r="M11" s="882"/>
      <c r="N11" s="878">
        <f>D11*F11/1000</f>
        <v>0.94397760000000008</v>
      </c>
    </row>
    <row r="12" spans="1:16">
      <c r="A12" s="872"/>
      <c r="B12" s="882" t="s">
        <v>706</v>
      </c>
      <c r="C12" s="882"/>
      <c r="D12" s="886">
        <v>106</v>
      </c>
      <c r="E12" s="885" t="s">
        <v>291</v>
      </c>
      <c r="F12" s="878">
        <v>28.2</v>
      </c>
      <c r="G12" s="878" t="s">
        <v>719</v>
      </c>
      <c r="H12" s="878">
        <f>F12*F$8/1000</f>
        <v>7.8333959999999987</v>
      </c>
      <c r="I12" s="878" t="s">
        <v>720</v>
      </c>
      <c r="J12" s="883"/>
      <c r="K12" s="887"/>
      <c r="L12" s="887"/>
      <c r="M12" s="887"/>
      <c r="N12" s="888">
        <f>D12*F12/1000</f>
        <v>2.9891999999999999</v>
      </c>
    </row>
    <row r="13" spans="1:16">
      <c r="A13" s="872"/>
      <c r="B13" s="882" t="s">
        <v>707</v>
      </c>
      <c r="C13" s="882"/>
      <c r="D13" s="878">
        <v>3.4000000000000002E-2</v>
      </c>
      <c r="E13" s="878" t="s">
        <v>128</v>
      </c>
      <c r="F13" s="889">
        <v>20</v>
      </c>
      <c r="G13" s="889" t="s">
        <v>719</v>
      </c>
      <c r="H13" s="889">
        <f>F13*F$8/1000</f>
        <v>5.5555999999999992</v>
      </c>
      <c r="I13" s="889" t="s">
        <v>720</v>
      </c>
      <c r="J13" s="883"/>
      <c r="K13" s="887"/>
      <c r="L13" s="887"/>
      <c r="M13" s="890"/>
      <c r="N13" s="888">
        <f>D13*F13/1000</f>
        <v>6.8000000000000005E-4</v>
      </c>
    </row>
    <row r="14" spans="1:16">
      <c r="A14" s="872"/>
      <c r="B14" s="882" t="s">
        <v>708</v>
      </c>
      <c r="C14" s="882"/>
      <c r="D14" s="889">
        <v>0.05</v>
      </c>
      <c r="E14" s="889" t="s">
        <v>785</v>
      </c>
      <c r="F14" s="889">
        <v>25</v>
      </c>
      <c r="G14" s="889" t="s">
        <v>719</v>
      </c>
      <c r="H14" s="889">
        <f>F14*F$8/1000</f>
        <v>6.9444999999999988</v>
      </c>
      <c r="I14" s="889" t="s">
        <v>720</v>
      </c>
      <c r="J14" s="883"/>
      <c r="K14" s="887"/>
      <c r="L14" s="887"/>
      <c r="M14" s="887"/>
      <c r="N14" s="891">
        <f>D14*F14/1000</f>
        <v>1.25E-3</v>
      </c>
    </row>
    <row r="15" spans="1:16">
      <c r="A15" s="872"/>
      <c r="B15" s="860"/>
      <c r="D15" s="892"/>
      <c r="E15" s="860"/>
      <c r="F15" s="857"/>
      <c r="G15" s="857"/>
      <c r="H15" s="857"/>
      <c r="I15" s="857"/>
      <c r="J15" s="893"/>
      <c r="K15" s="893"/>
      <c r="L15" s="893"/>
      <c r="M15" s="893"/>
      <c r="N15" s="894"/>
    </row>
    <row r="16" spans="1:16">
      <c r="A16" s="872"/>
      <c r="B16" s="880" t="s">
        <v>702</v>
      </c>
      <c r="D16" s="892"/>
      <c r="E16" s="860"/>
      <c r="F16" s="857"/>
      <c r="G16" s="857"/>
      <c r="H16" s="857"/>
      <c r="I16" s="857"/>
      <c r="J16" s="893"/>
      <c r="K16" s="893"/>
      <c r="L16" s="893"/>
      <c r="M16" s="893"/>
      <c r="N16" s="894"/>
      <c r="O16" s="769" t="s">
        <v>293</v>
      </c>
      <c r="P16" s="769"/>
    </row>
    <row r="17" spans="1:16">
      <c r="A17" s="872"/>
      <c r="B17" s="883" t="s">
        <v>465</v>
      </c>
      <c r="C17" s="883"/>
      <c r="D17" s="895">
        <v>76.59</v>
      </c>
      <c r="E17" s="885" t="s">
        <v>291</v>
      </c>
      <c r="F17" s="878">
        <v>40.19</v>
      </c>
      <c r="G17" s="878" t="s">
        <v>719</v>
      </c>
      <c r="H17" s="896">
        <f>F17*F$8/1000000</f>
        <v>1.1163978199999997E-2</v>
      </c>
      <c r="I17" s="889" t="s">
        <v>722</v>
      </c>
      <c r="J17" s="889">
        <v>0.9</v>
      </c>
      <c r="K17" s="887"/>
      <c r="L17" s="878">
        <f>D17*F17*J17/1000000</f>
        <v>2.7703368899999999E-3</v>
      </c>
      <c r="M17" s="887"/>
      <c r="N17" s="887"/>
      <c r="O17" s="769"/>
      <c r="P17" s="769"/>
    </row>
    <row r="18" spans="1:16">
      <c r="A18" s="872"/>
      <c r="B18" s="882" t="s">
        <v>709</v>
      </c>
      <c r="C18" s="882"/>
      <c r="D18" s="895">
        <v>74.441999999999993</v>
      </c>
      <c r="E18" s="885" t="s">
        <v>292</v>
      </c>
      <c r="F18" s="878">
        <v>43.33</v>
      </c>
      <c r="G18" s="878" t="s">
        <v>719</v>
      </c>
      <c r="H18" s="878">
        <f>F18*F$8/1000000</f>
        <v>1.2036207399999997E-2</v>
      </c>
      <c r="I18" s="889" t="s">
        <v>722</v>
      </c>
      <c r="J18" s="878">
        <v>0.83</v>
      </c>
      <c r="K18" s="895">
        <f>D18/$I$4</f>
        <v>0.2679890560875513</v>
      </c>
      <c r="L18" s="888">
        <f>D18*F18*J18/1000000</f>
        <v>2.6772246437999992E-3</v>
      </c>
      <c r="M18" s="887"/>
      <c r="N18" s="887"/>
      <c r="O18" s="769">
        <v>0.26700000000000002</v>
      </c>
      <c r="P18" s="769" t="s">
        <v>294</v>
      </c>
    </row>
    <row r="19" spans="1:16">
      <c r="A19" s="872"/>
      <c r="B19" s="882" t="s">
        <v>710</v>
      </c>
      <c r="C19" s="882"/>
      <c r="D19" s="895">
        <v>71.387</v>
      </c>
      <c r="E19" s="885" t="s">
        <v>292</v>
      </c>
      <c r="F19" s="878">
        <v>44.8</v>
      </c>
      <c r="G19" s="878" t="s">
        <v>719</v>
      </c>
      <c r="H19" s="878">
        <f>F19*F$8/1000000</f>
        <v>1.2444543999999998E-2</v>
      </c>
      <c r="I19" s="889" t="s">
        <v>722</v>
      </c>
      <c r="J19" s="878">
        <v>0.75</v>
      </c>
      <c r="K19" s="895">
        <f>D19/$I$4</f>
        <v>0.25699114407084744</v>
      </c>
      <c r="L19" s="888">
        <f>D19*F19*J19/1000000</f>
        <v>2.3986032000000001E-3</v>
      </c>
      <c r="M19" s="887"/>
      <c r="N19" s="887">
        <v>3.109</v>
      </c>
      <c r="O19" s="769">
        <v>0.249</v>
      </c>
      <c r="P19" s="769" t="s">
        <v>294</v>
      </c>
    </row>
    <row r="20" spans="1:16">
      <c r="A20" s="872"/>
      <c r="B20" s="882" t="s">
        <v>711</v>
      </c>
      <c r="C20" s="882"/>
      <c r="D20" s="895">
        <v>73.260000000000005</v>
      </c>
      <c r="E20" s="878" t="s">
        <v>130</v>
      </c>
      <c r="F20" s="878">
        <v>43</v>
      </c>
      <c r="G20" s="878" t="s">
        <v>719</v>
      </c>
      <c r="H20" s="896">
        <f>F20*F$8/1000000</f>
        <v>1.1944539999999998E-2</v>
      </c>
      <c r="I20" s="889" t="s">
        <v>722</v>
      </c>
      <c r="J20" s="889">
        <v>0.81</v>
      </c>
      <c r="K20" s="887"/>
      <c r="L20" s="888">
        <f>D20*F20/1000000</f>
        <v>3.1501800000000003E-3</v>
      </c>
      <c r="M20" s="887"/>
      <c r="N20" s="887">
        <v>3.1110000000000002</v>
      </c>
    </row>
    <row r="21" spans="1:16">
      <c r="A21" s="872"/>
      <c r="B21" s="883" t="s">
        <v>419</v>
      </c>
      <c r="C21" s="882"/>
      <c r="D21" s="895">
        <v>63.591999999999999</v>
      </c>
      <c r="E21" s="885" t="s">
        <v>292</v>
      </c>
      <c r="F21" s="897">
        <v>26.5</v>
      </c>
      <c r="G21" s="889" t="s">
        <v>131</v>
      </c>
      <c r="H21" s="896">
        <f>F21*F$8/1000000</f>
        <v>7.3611699999999993E-3</v>
      </c>
      <c r="I21" s="889" t="s">
        <v>722</v>
      </c>
      <c r="J21" s="889">
        <v>0.53</v>
      </c>
      <c r="K21" s="895">
        <f>D21/$I$4</f>
        <v>0.2289293685650515</v>
      </c>
      <c r="L21" s="891">
        <f>D21*F21/1000000</f>
        <v>1.6851879999999998E-3</v>
      </c>
      <c r="M21" s="887"/>
      <c r="N21" s="887"/>
      <c r="O21" s="769">
        <v>0.22700000000000001</v>
      </c>
      <c r="P21" s="769" t="s">
        <v>294</v>
      </c>
    </row>
    <row r="22" spans="1:16">
      <c r="A22" s="872"/>
      <c r="B22" s="882" t="s">
        <v>540</v>
      </c>
      <c r="C22" s="882"/>
      <c r="D22" s="898">
        <v>63.6</v>
      </c>
      <c r="E22" s="889" t="s">
        <v>132</v>
      </c>
      <c r="F22" s="897">
        <v>46.2</v>
      </c>
      <c r="G22" s="896" t="s">
        <v>719</v>
      </c>
      <c r="H22" s="896">
        <f>F22*J22*F$8/1000000</f>
        <v>6.5193854879999997E-3</v>
      </c>
      <c r="I22" s="899" t="s">
        <v>722</v>
      </c>
      <c r="J22" s="889">
        <v>0.50800000000000001</v>
      </c>
      <c r="K22" s="887"/>
      <c r="L22" s="889">
        <f>D22*F22*J22/1000000</f>
        <v>1.4926665600000001E-3</v>
      </c>
      <c r="M22" s="887"/>
      <c r="N22" s="887"/>
    </row>
    <row r="23" spans="1:16">
      <c r="A23" s="872"/>
      <c r="B23" s="882" t="s">
        <v>712</v>
      </c>
      <c r="C23" s="882"/>
      <c r="D23" s="898">
        <v>66.2</v>
      </c>
      <c r="E23" s="889" t="s">
        <v>132</v>
      </c>
      <c r="F23" s="897">
        <v>44.78</v>
      </c>
      <c r="G23" s="896" t="s">
        <v>719</v>
      </c>
      <c r="H23" s="896">
        <f>F23*J23*F$8/1000000</f>
        <v>7.1275403532000013E-3</v>
      </c>
      <c r="I23" s="899" t="s">
        <v>722</v>
      </c>
      <c r="J23" s="889">
        <v>0.57300000000000006</v>
      </c>
      <c r="K23" s="887"/>
      <c r="L23" s="889">
        <f>D23*F23*J23/1000000</f>
        <v>1.6986218280000004E-3</v>
      </c>
      <c r="M23" s="887"/>
      <c r="N23" s="887"/>
    </row>
    <row r="24" spans="1:16">
      <c r="A24" s="872"/>
      <c r="B24" s="900"/>
      <c r="D24" s="901"/>
      <c r="E24" s="860"/>
      <c r="F24" s="857"/>
      <c r="G24" s="857"/>
      <c r="H24" s="857"/>
      <c r="I24" s="857"/>
      <c r="J24" s="857"/>
      <c r="K24" s="902"/>
      <c r="M24" s="893"/>
      <c r="N24" s="893"/>
    </row>
    <row r="25" spans="1:16">
      <c r="A25" s="872"/>
      <c r="B25" s="903" t="s">
        <v>703</v>
      </c>
      <c r="D25" s="901"/>
      <c r="E25" s="860"/>
      <c r="F25" s="857"/>
      <c r="G25" s="857"/>
      <c r="H25" s="857"/>
      <c r="I25" s="857"/>
      <c r="J25" s="857"/>
      <c r="K25" s="902"/>
      <c r="M25" s="893"/>
      <c r="N25" s="893"/>
    </row>
    <row r="26" spans="1:16">
      <c r="A26" s="872"/>
      <c r="B26" s="883" t="s">
        <v>713</v>
      </c>
      <c r="C26" s="883"/>
      <c r="D26" s="904">
        <v>55.82</v>
      </c>
      <c r="E26" s="885" t="s">
        <v>291</v>
      </c>
      <c r="F26" s="878">
        <v>36.090000000000003</v>
      </c>
      <c r="G26" s="878" t="s">
        <v>133</v>
      </c>
      <c r="H26" s="878">
        <f>F26*F$8/1000000</f>
        <v>1.00250802E-2</v>
      </c>
      <c r="I26" s="878" t="s">
        <v>134</v>
      </c>
      <c r="J26" s="883"/>
      <c r="K26" s="887"/>
      <c r="L26" s="882"/>
      <c r="M26" s="888">
        <f>D26*F26/$F$8/1000</f>
        <v>7.2522996616027086E-3</v>
      </c>
      <c r="N26" s="887"/>
    </row>
    <row r="27" spans="1:16">
      <c r="A27" s="872"/>
      <c r="B27" s="883" t="s">
        <v>714</v>
      </c>
      <c r="C27" s="883"/>
      <c r="D27" s="904">
        <v>55</v>
      </c>
      <c r="E27" s="878" t="s">
        <v>127</v>
      </c>
      <c r="F27" s="878">
        <v>26</v>
      </c>
      <c r="G27" s="878" t="s">
        <v>133</v>
      </c>
      <c r="H27" s="878">
        <f>F27*F$8/1000000</f>
        <v>7.2222799999999985E-3</v>
      </c>
      <c r="I27" s="878" t="s">
        <v>134</v>
      </c>
      <c r="J27" s="882"/>
      <c r="K27" s="887"/>
      <c r="L27" s="882"/>
      <c r="M27" s="888">
        <f>D27*F27/$F$8/1000</f>
        <v>5.1479588163294695E-3</v>
      </c>
      <c r="N27" s="887"/>
    </row>
    <row r="28" spans="1:16">
      <c r="A28" s="872"/>
      <c r="B28" s="882" t="s">
        <v>49</v>
      </c>
      <c r="C28" s="882" t="s">
        <v>135</v>
      </c>
      <c r="D28" s="905">
        <v>55.78</v>
      </c>
      <c r="E28" s="882" t="s">
        <v>136</v>
      </c>
      <c r="F28" s="889">
        <v>34.9</v>
      </c>
      <c r="G28" s="889" t="s">
        <v>129</v>
      </c>
      <c r="H28" s="889">
        <f>F28/1000</f>
        <v>3.49E-2</v>
      </c>
      <c r="I28" s="889" t="s">
        <v>722</v>
      </c>
      <c r="J28" s="882"/>
      <c r="K28" s="890">
        <v>5.6437999999999995E-2</v>
      </c>
      <c r="L28" s="891">
        <f>D28*F28/$I$4/1000</f>
        <v>7.0081431348549212E-3</v>
      </c>
      <c r="M28" s="890"/>
      <c r="N28" s="887"/>
    </row>
    <row r="29" spans="1:16">
      <c r="A29" s="872"/>
      <c r="B29" s="882" t="s">
        <v>418</v>
      </c>
      <c r="C29" s="882" t="s">
        <v>135</v>
      </c>
      <c r="D29" s="906">
        <v>54.6</v>
      </c>
      <c r="E29" s="883" t="s">
        <v>136</v>
      </c>
      <c r="F29" s="889">
        <v>37.700000000000003</v>
      </c>
      <c r="G29" s="889" t="s">
        <v>133</v>
      </c>
      <c r="H29" s="896">
        <f>F29*F$8/1000000</f>
        <v>1.0472306000000001E-2</v>
      </c>
      <c r="I29" s="889" t="s">
        <v>134</v>
      </c>
      <c r="J29" s="882"/>
      <c r="K29" s="887"/>
      <c r="L29" s="887"/>
      <c r="M29" s="891">
        <f>D29*F29/$F$8/1000</f>
        <v>7.4102527179782576E-3</v>
      </c>
      <c r="N29" s="887"/>
    </row>
    <row r="30" spans="1:16">
      <c r="A30" s="872"/>
      <c r="B30" s="860"/>
      <c r="D30" s="907"/>
      <c r="E30" s="900"/>
      <c r="F30" s="857"/>
      <c r="G30" s="857"/>
      <c r="H30" s="857"/>
      <c r="I30" s="857"/>
      <c r="J30" s="857"/>
      <c r="K30" s="894"/>
      <c r="M30" s="894"/>
      <c r="N30" s="894"/>
      <c r="O30" s="860"/>
    </row>
    <row r="31" spans="1:16">
      <c r="A31" s="872"/>
      <c r="B31" s="880" t="s">
        <v>718</v>
      </c>
      <c r="D31" s="907"/>
      <c r="E31" s="900"/>
      <c r="F31" s="857"/>
      <c r="G31" s="857"/>
      <c r="H31" s="857"/>
      <c r="I31" s="857"/>
      <c r="J31" s="857"/>
      <c r="K31" s="894"/>
      <c r="M31" s="894"/>
      <c r="N31" s="894"/>
      <c r="O31" s="860"/>
    </row>
    <row r="32" spans="1:16">
      <c r="A32" s="872"/>
      <c r="B32" s="882" t="s">
        <v>715</v>
      </c>
      <c r="C32" s="882"/>
      <c r="D32" s="889"/>
      <c r="E32" s="878" t="s">
        <v>137</v>
      </c>
      <c r="F32" s="889"/>
      <c r="G32" s="889"/>
      <c r="H32" s="889"/>
      <c r="I32" s="889"/>
      <c r="J32" s="882"/>
      <c r="K32" s="887"/>
      <c r="L32" s="887"/>
      <c r="M32" s="887"/>
      <c r="N32" s="888">
        <v>0.64649999999999996</v>
      </c>
      <c r="O32" s="908"/>
    </row>
    <row r="33" spans="1:24">
      <c r="A33" s="872"/>
      <c r="B33" s="882" t="s">
        <v>716</v>
      </c>
      <c r="C33" s="882"/>
      <c r="D33" s="889">
        <v>112.9</v>
      </c>
      <c r="E33" s="889" t="s">
        <v>138</v>
      </c>
      <c r="F33" s="889">
        <v>9.1999999999999993</v>
      </c>
      <c r="G33" s="889" t="s">
        <v>724</v>
      </c>
      <c r="H33" s="889">
        <f>F33*F$8/1000</f>
        <v>2.5555759999999994</v>
      </c>
      <c r="I33" s="889" t="s">
        <v>720</v>
      </c>
      <c r="J33" s="882"/>
      <c r="K33" s="887">
        <v>0.40640000000000004</v>
      </c>
      <c r="L33" s="887"/>
      <c r="M33" s="887"/>
      <c r="N33" s="888">
        <v>1</v>
      </c>
      <c r="O33" s="909" t="s">
        <v>139</v>
      </c>
    </row>
    <row r="34" spans="1:24">
      <c r="A34" s="872"/>
      <c r="B34" s="882" t="s">
        <v>717</v>
      </c>
      <c r="C34" s="882"/>
      <c r="D34" s="889">
        <v>47.877000000000002</v>
      </c>
      <c r="E34" s="889" t="s">
        <v>140</v>
      </c>
      <c r="F34" s="889">
        <v>12.8</v>
      </c>
      <c r="G34" s="889" t="s">
        <v>724</v>
      </c>
      <c r="H34" s="889">
        <f>F34*F$8/1000</f>
        <v>3.5555839999999996</v>
      </c>
      <c r="I34" s="889" t="s">
        <v>720</v>
      </c>
      <c r="J34" s="882"/>
      <c r="K34" s="887"/>
      <c r="L34" s="887"/>
      <c r="M34" s="887"/>
      <c r="N34" s="890">
        <v>0.71799999999999997</v>
      </c>
      <c r="O34" s="860"/>
    </row>
    <row r="35" spans="1:24" s="912" customFormat="1">
      <c r="A35" s="872"/>
      <c r="B35" s="910" t="s">
        <v>513</v>
      </c>
      <c r="C35" s="882"/>
      <c r="D35" s="895">
        <v>90</v>
      </c>
      <c r="E35" s="885" t="s">
        <v>295</v>
      </c>
      <c r="F35" s="882"/>
      <c r="G35" s="882"/>
      <c r="H35" s="882"/>
      <c r="I35" s="882"/>
      <c r="J35" s="882"/>
      <c r="K35" s="895">
        <v>0.32400000000000001</v>
      </c>
      <c r="L35" s="910"/>
      <c r="M35" s="911"/>
      <c r="N35" s="911"/>
      <c r="P35" s="913"/>
      <c r="Q35" s="914"/>
      <c r="R35" s="857"/>
      <c r="S35" s="857"/>
      <c r="T35" s="857"/>
      <c r="U35" s="857"/>
      <c r="V35" s="857"/>
      <c r="W35" s="857"/>
      <c r="X35" s="857"/>
    </row>
    <row r="36" spans="1:24">
      <c r="A36" s="872"/>
      <c r="B36" s="860"/>
      <c r="C36" s="860"/>
      <c r="D36" s="872"/>
      <c r="E36" s="860"/>
      <c r="F36" s="860"/>
      <c r="G36" s="860"/>
      <c r="H36" s="857"/>
      <c r="I36" s="860"/>
      <c r="J36" s="860"/>
      <c r="K36" s="860"/>
      <c r="L36" s="860"/>
      <c r="N36" s="860"/>
    </row>
  </sheetData>
  <mergeCells count="6">
    <mergeCell ref="C6:I6"/>
    <mergeCell ref="J6:N6"/>
    <mergeCell ref="H2:J2"/>
    <mergeCell ref="B3:C4"/>
    <mergeCell ref="D3:E3"/>
    <mergeCell ref="D4:E4"/>
  </mergeCells>
  <phoneticPr fontId="37" type="noConversion"/>
  <pageMargins left="0.45" right="0.27986111111111112" top="0.72986111111111107" bottom="0.72013888888888888" header="0.51180555555555551" footer="0.51180555555555551"/>
  <pageSetup paperSize="9" firstPageNumber="0" orientation="landscape" horizontalDpi="300" verticalDpi="300" r:id="rId1"/>
  <headerFooter alignWithMargins="0"/>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H147"/>
  <sheetViews>
    <sheetView workbookViewId="0">
      <pane xSplit="1" ySplit="8" topLeftCell="B9" activePane="bottomRight" state="frozen"/>
      <selection pane="topRight" activeCell="B1" sqref="B1"/>
      <selection pane="bottomLeft" activeCell="A9" sqref="A9"/>
      <selection pane="bottomRight" activeCell="E41" sqref="E41"/>
    </sheetView>
  </sheetViews>
  <sheetFormatPr defaultRowHeight="12.75"/>
  <cols>
    <col min="1" max="1" width="23.33203125" style="279" customWidth="1"/>
    <col min="2" max="2" width="13" style="279" customWidth="1"/>
    <col min="3" max="3" width="17.6640625" style="279" customWidth="1"/>
    <col min="4" max="4" width="16.6640625" style="279" customWidth="1"/>
    <col min="5" max="5" width="17.83203125" style="279" customWidth="1"/>
    <col min="6" max="6" width="19" style="279" customWidth="1"/>
    <col min="7" max="7" width="17.33203125" style="279" customWidth="1"/>
    <col min="8" max="16384" width="9.33203125" style="279"/>
  </cols>
  <sheetData>
    <row r="1" spans="1:7" ht="23.25">
      <c r="A1" s="1024" t="s">
        <v>725</v>
      </c>
      <c r="B1" s="1024"/>
      <c r="C1" s="1024"/>
      <c r="D1" s="1024"/>
      <c r="E1" s="1024"/>
      <c r="F1" s="1024"/>
      <c r="G1" s="1024"/>
    </row>
    <row r="3" spans="1:7">
      <c r="A3" s="1025"/>
      <c r="B3" s="1025"/>
      <c r="C3" s="1025"/>
      <c r="D3" s="1025"/>
      <c r="E3" s="1025"/>
      <c r="F3" s="1025"/>
      <c r="G3" s="1025"/>
    </row>
    <row r="4" spans="1:7" ht="15.75">
      <c r="A4" s="1026" t="s">
        <v>727</v>
      </c>
      <c r="B4" s="1026"/>
      <c r="C4" s="1026"/>
      <c r="D4" s="658" t="s">
        <v>728</v>
      </c>
      <c r="E4" s="659"/>
      <c r="G4" s="660">
        <f>corpyear</f>
        <v>2005</v>
      </c>
    </row>
    <row r="5" spans="1:7" ht="15.75">
      <c r="D5" s="661" t="s">
        <v>729</v>
      </c>
      <c r="G5" s="376">
        <f>comyear</f>
        <v>2005</v>
      </c>
    </row>
    <row r="6" spans="1:7">
      <c r="A6" s="662" t="s">
        <v>530</v>
      </c>
      <c r="C6" s="663"/>
    </row>
    <row r="7" spans="1:7">
      <c r="A7" s="664" t="s">
        <v>124</v>
      </c>
    </row>
    <row r="8" spans="1:7" s="665" customFormat="1">
      <c r="A8" s="915" t="s">
        <v>730</v>
      </c>
      <c r="B8" s="766" t="s">
        <v>731</v>
      </c>
      <c r="C8" s="666"/>
      <c r="D8" s="666"/>
      <c r="E8" s="666"/>
      <c r="F8" s="666"/>
      <c r="G8" s="666"/>
    </row>
    <row r="9" spans="1:7">
      <c r="A9" s="662">
        <v>1990</v>
      </c>
      <c r="B9" s="667">
        <v>0.71261962592759309</v>
      </c>
      <c r="C9" s="667">
        <v>0.71261962592759309</v>
      </c>
      <c r="D9" s="667">
        <v>0.71261962592759309</v>
      </c>
      <c r="E9" s="667">
        <v>0.71261962592759309</v>
      </c>
      <c r="F9" s="667">
        <v>0.71261962592759309</v>
      </c>
      <c r="G9" s="667">
        <v>0.71261962592759309</v>
      </c>
    </row>
    <row r="10" spans="1:7">
      <c r="A10" s="662">
        <v>1991</v>
      </c>
      <c r="B10" s="667">
        <v>0.71261962592759309</v>
      </c>
      <c r="C10" s="667">
        <v>0.71261962592759309</v>
      </c>
      <c r="D10" s="667">
        <v>0.71261962592759309</v>
      </c>
      <c r="E10" s="667">
        <v>0.71261962592759309</v>
      </c>
      <c r="F10" s="667">
        <v>0.71261962592759309</v>
      </c>
      <c r="G10" s="667">
        <v>0.71261962592759309</v>
      </c>
    </row>
    <row r="11" spans="1:7">
      <c r="A11" s="662">
        <v>1992</v>
      </c>
      <c r="B11" s="667">
        <v>0.71261962592759309</v>
      </c>
      <c r="C11" s="667">
        <v>0.71261962592759309</v>
      </c>
      <c r="D11" s="667">
        <v>0.71261962592759309</v>
      </c>
      <c r="E11" s="667">
        <v>0.71261962592759309</v>
      </c>
      <c r="F11" s="667">
        <v>0.71261962592759309</v>
      </c>
      <c r="G11" s="667">
        <v>0.71261962592759309</v>
      </c>
    </row>
    <row r="12" spans="1:7">
      <c r="A12" s="662">
        <v>1993</v>
      </c>
      <c r="B12" s="667">
        <v>0.71261962592759309</v>
      </c>
      <c r="C12" s="667">
        <v>0.71261962592759309</v>
      </c>
      <c r="D12" s="667">
        <v>0.71261962592759309</v>
      </c>
      <c r="E12" s="667">
        <v>0.71261962592759309</v>
      </c>
      <c r="F12" s="667">
        <v>0.71261962592759309</v>
      </c>
      <c r="G12" s="667">
        <v>0.71261962592759309</v>
      </c>
    </row>
    <row r="13" spans="1:7">
      <c r="A13" s="662">
        <v>1994</v>
      </c>
      <c r="B13" s="667">
        <v>0.71261962592759309</v>
      </c>
      <c r="C13" s="667">
        <v>0.71261962592759309</v>
      </c>
      <c r="D13" s="667">
        <v>0.71261962592759309</v>
      </c>
      <c r="E13" s="667">
        <v>0.71261962592759309</v>
      </c>
      <c r="F13" s="667">
        <v>0.71261962592759309</v>
      </c>
      <c r="G13" s="667">
        <v>0.71261962592759309</v>
      </c>
    </row>
    <row r="14" spans="1:7">
      <c r="A14" s="662">
        <v>1995</v>
      </c>
      <c r="B14" s="667">
        <v>0.71261962592759309</v>
      </c>
      <c r="C14" s="667">
        <v>0.71261962592759309</v>
      </c>
      <c r="D14" s="667">
        <v>0.71261962592759309</v>
      </c>
      <c r="E14" s="667">
        <v>0.71261962592759309</v>
      </c>
      <c r="F14" s="667">
        <v>0.71261962592759309</v>
      </c>
      <c r="G14" s="667">
        <v>0.71261962592759309</v>
      </c>
    </row>
    <row r="15" spans="1:7">
      <c r="A15" s="662">
        <v>1996</v>
      </c>
      <c r="B15" s="667">
        <v>0.71261962592759309</v>
      </c>
      <c r="C15" s="667">
        <v>0.71261962592759309</v>
      </c>
      <c r="D15" s="667">
        <v>0.71261962592759309</v>
      </c>
      <c r="E15" s="667">
        <v>0.71261962592759309</v>
      </c>
      <c r="F15" s="667">
        <v>0.71261962592759309</v>
      </c>
      <c r="G15" s="667">
        <v>0.71261962592759309</v>
      </c>
    </row>
    <row r="16" spans="1:7">
      <c r="A16" s="662">
        <v>1997</v>
      </c>
      <c r="B16" s="667">
        <v>0.71261962592759309</v>
      </c>
      <c r="C16" s="667">
        <v>0.71261962592759309</v>
      </c>
      <c r="D16" s="667">
        <v>0.71261962592759309</v>
      </c>
      <c r="E16" s="667">
        <v>0.71261962592759309</v>
      </c>
      <c r="F16" s="667">
        <v>0.71261962592759309</v>
      </c>
      <c r="G16" s="667">
        <v>0.71261962592759309</v>
      </c>
    </row>
    <row r="17" spans="1:8">
      <c r="A17" s="662">
        <v>1998</v>
      </c>
      <c r="B17" s="667">
        <v>0.71261962592759309</v>
      </c>
      <c r="C17" s="667">
        <v>0.71261962592759309</v>
      </c>
      <c r="D17" s="667">
        <v>0.71261962592759309</v>
      </c>
      <c r="E17" s="667">
        <v>0.71261962592759309</v>
      </c>
      <c r="F17" s="667">
        <v>0.71261962592759309</v>
      </c>
      <c r="G17" s="667">
        <v>0.71261962592759309</v>
      </c>
    </row>
    <row r="18" spans="1:8">
      <c r="A18" s="662">
        <v>1999</v>
      </c>
      <c r="B18" s="667">
        <v>0.71261962592759309</v>
      </c>
      <c r="C18" s="667">
        <v>0.71261962592759309</v>
      </c>
      <c r="D18" s="667">
        <v>0.71261962592759309</v>
      </c>
      <c r="E18" s="667">
        <v>0.71261962592759309</v>
      </c>
      <c r="F18" s="667">
        <v>0.71261962592759309</v>
      </c>
      <c r="G18" s="667">
        <v>0.71261962592759309</v>
      </c>
    </row>
    <row r="19" spans="1:8">
      <c r="A19" s="662">
        <v>2000</v>
      </c>
      <c r="B19" s="667">
        <v>0.71261962592759309</v>
      </c>
      <c r="C19" s="667">
        <v>0.71261962592759309</v>
      </c>
      <c r="D19" s="667">
        <v>0.71261962592759309</v>
      </c>
      <c r="E19" s="667">
        <v>0.71261962592759309</v>
      </c>
      <c r="F19" s="667">
        <v>0.71261962592759309</v>
      </c>
      <c r="G19" s="667">
        <v>0.71261962592759309</v>
      </c>
    </row>
    <row r="20" spans="1:8">
      <c r="A20" s="662">
        <v>2001</v>
      </c>
      <c r="B20" s="667">
        <v>0.71261962592759309</v>
      </c>
      <c r="C20" s="667">
        <v>0.71261962592759309</v>
      </c>
      <c r="D20" s="667">
        <v>0.71261962592759309</v>
      </c>
      <c r="E20" s="667">
        <v>0.71261962592759309</v>
      </c>
      <c r="F20" s="667">
        <v>0.71261962592759309</v>
      </c>
      <c r="G20" s="667">
        <v>0.71261962592759309</v>
      </c>
    </row>
    <row r="21" spans="1:8">
      <c r="A21" s="662">
        <v>2002</v>
      </c>
      <c r="B21" s="667">
        <v>0.71261962592759309</v>
      </c>
      <c r="C21" s="667">
        <v>0.71261962592759309</v>
      </c>
      <c r="D21" s="667">
        <v>0.71261962592759309</v>
      </c>
      <c r="E21" s="667">
        <v>0.71261962592759309</v>
      </c>
      <c r="F21" s="667">
        <v>0.71261962592759309</v>
      </c>
      <c r="G21" s="667">
        <v>0.71261962592759309</v>
      </c>
    </row>
    <row r="22" spans="1:8">
      <c r="A22" s="662">
        <v>2003</v>
      </c>
      <c r="B22" s="667">
        <v>0.71261962592759309</v>
      </c>
      <c r="C22" s="667">
        <v>0.71261962592759309</v>
      </c>
      <c r="D22" s="667">
        <v>0.71261962592759309</v>
      </c>
      <c r="E22" s="667">
        <v>0.71261962592759309</v>
      </c>
      <c r="F22" s="667">
        <v>0.71261962592759309</v>
      </c>
      <c r="G22" s="667">
        <v>0.71261962592759309</v>
      </c>
    </row>
    <row r="23" spans="1:8">
      <c r="A23" s="662">
        <v>2004</v>
      </c>
      <c r="B23" s="667">
        <v>0.71261962592759309</v>
      </c>
      <c r="C23" s="667">
        <v>0.71261962592759309</v>
      </c>
      <c r="D23" s="667">
        <v>0.71261962592759309</v>
      </c>
      <c r="E23" s="667">
        <v>0.71261962592759309</v>
      </c>
      <c r="F23" s="667">
        <v>0.71261962592759309</v>
      </c>
      <c r="G23" s="667">
        <v>0.71261962592759309</v>
      </c>
    </row>
    <row r="24" spans="1:8" ht="13.5">
      <c r="A24" s="662">
        <v>2005</v>
      </c>
      <c r="B24" s="764">
        <v>0.98199999999999998</v>
      </c>
      <c r="C24" s="764">
        <v>0.98199999999999998</v>
      </c>
      <c r="D24" s="764">
        <v>0.98199999999999998</v>
      </c>
      <c r="E24" s="764">
        <v>0.98199999999999998</v>
      </c>
      <c r="F24" s="764">
        <v>0.98199999999999998</v>
      </c>
      <c r="G24" s="764">
        <v>0.98199999999999998</v>
      </c>
      <c r="H24" s="763" t="s">
        <v>740</v>
      </c>
    </row>
    <row r="25" spans="1:8">
      <c r="A25" s="662">
        <v>2006</v>
      </c>
      <c r="B25" s="764">
        <v>0.98199999999999998</v>
      </c>
      <c r="C25" s="764">
        <v>0.98199999999999998</v>
      </c>
      <c r="D25" s="764">
        <v>0.98199999999999998</v>
      </c>
      <c r="E25" s="764">
        <v>0.98199999999999998</v>
      </c>
      <c r="F25" s="764">
        <v>0.98199999999999998</v>
      </c>
      <c r="G25" s="764">
        <v>0.98199999999999998</v>
      </c>
      <c r="H25" s="279" t="s">
        <v>737</v>
      </c>
    </row>
    <row r="26" spans="1:8">
      <c r="A26" s="662">
        <v>2007</v>
      </c>
      <c r="B26" s="764">
        <v>0.98199999999999998</v>
      </c>
      <c r="C26" s="764">
        <v>0.98199999999999998</v>
      </c>
      <c r="D26" s="764">
        <v>0.98199999999999998</v>
      </c>
      <c r="E26" s="764">
        <v>0.98199999999999998</v>
      </c>
      <c r="F26" s="764">
        <v>0.98199999999999998</v>
      </c>
      <c r="G26" s="764">
        <v>0.98199999999999998</v>
      </c>
      <c r="H26" s="279" t="s">
        <v>738</v>
      </c>
    </row>
    <row r="27" spans="1:8">
      <c r="A27" s="662">
        <v>2008</v>
      </c>
      <c r="B27" s="765">
        <v>0.98199999999999998</v>
      </c>
      <c r="C27" s="765">
        <v>0.98199999999999998</v>
      </c>
      <c r="D27" s="765">
        <v>0.98199999999999998</v>
      </c>
      <c r="E27" s="765">
        <v>0.98199999999999998</v>
      </c>
      <c r="F27" s="765">
        <v>0.98199999999999998</v>
      </c>
      <c r="G27" s="765">
        <v>0.98199999999999998</v>
      </c>
      <c r="H27" s="279" t="s">
        <v>739</v>
      </c>
    </row>
    <row r="28" spans="1:8">
      <c r="A28" s="662">
        <v>2009</v>
      </c>
      <c r="B28" s="765">
        <v>0.98199999999999998</v>
      </c>
      <c r="C28" s="765">
        <v>0.98199999999999998</v>
      </c>
      <c r="D28" s="765">
        <v>0.98199999999999998</v>
      </c>
      <c r="E28" s="765">
        <v>0.98199999999999998</v>
      </c>
      <c r="F28" s="765">
        <v>0.98199999999999998</v>
      </c>
      <c r="G28" s="765">
        <v>0.98199999999999998</v>
      </c>
    </row>
    <row r="29" spans="1:8">
      <c r="A29" s="662">
        <v>2010</v>
      </c>
      <c r="B29" s="765">
        <v>0.98199999999999998</v>
      </c>
      <c r="C29" s="765">
        <v>0.98199999999999998</v>
      </c>
      <c r="D29" s="765">
        <v>0.98199999999999998</v>
      </c>
      <c r="E29" s="765">
        <v>0.98199999999999998</v>
      </c>
      <c r="F29" s="765">
        <v>0.98199999999999998</v>
      </c>
      <c r="G29" s="765">
        <v>0.98199999999999998</v>
      </c>
    </row>
    <row r="30" spans="1:8">
      <c r="A30" s="662">
        <v>2011</v>
      </c>
      <c r="B30" s="765">
        <v>0.98199999999999998</v>
      </c>
      <c r="C30" s="765">
        <v>0.98199999999999998</v>
      </c>
      <c r="D30" s="765">
        <v>0.98199999999999998</v>
      </c>
      <c r="E30" s="765">
        <v>0.98199999999999998</v>
      </c>
      <c r="F30" s="765">
        <v>0.98199999999999998</v>
      </c>
      <c r="G30" s="765">
        <v>0.98199999999999998</v>
      </c>
    </row>
    <row r="31" spans="1:8">
      <c r="A31" s="662">
        <v>2012</v>
      </c>
      <c r="B31" s="765">
        <v>0.98199999999999998</v>
      </c>
      <c r="C31" s="765">
        <v>0.98199999999999998</v>
      </c>
      <c r="D31" s="765">
        <v>0.98199999999999998</v>
      </c>
      <c r="E31" s="765">
        <v>0.98199999999999998</v>
      </c>
      <c r="F31" s="765">
        <v>0.98199999999999998</v>
      </c>
      <c r="G31" s="765">
        <v>0.98199999999999998</v>
      </c>
    </row>
    <row r="32" spans="1:8">
      <c r="D32" s="668"/>
    </row>
    <row r="33" spans="1:7">
      <c r="A33" s="918" t="s">
        <v>734</v>
      </c>
      <c r="B33" s="916" t="s">
        <v>732</v>
      </c>
      <c r="C33" s="669"/>
      <c r="D33" s="670"/>
      <c r="E33" s="671"/>
      <c r="F33" s="671"/>
      <c r="G33" s="671"/>
    </row>
    <row r="34" spans="1:7">
      <c r="A34" s="918" t="s">
        <v>735</v>
      </c>
      <c r="B34" s="917" t="s">
        <v>733</v>
      </c>
      <c r="C34" s="672"/>
      <c r="D34" s="672"/>
      <c r="E34" s="672"/>
      <c r="F34" s="672"/>
      <c r="G34" s="672"/>
    </row>
    <row r="35" spans="1:7">
      <c r="A35" s="766" t="s">
        <v>736</v>
      </c>
      <c r="B35" s="767" t="s">
        <v>726</v>
      </c>
      <c r="C35" s="767"/>
      <c r="D35" s="768"/>
      <c r="E35" s="767"/>
      <c r="F35" s="767"/>
      <c r="G35" s="767"/>
    </row>
    <row r="36" spans="1:7">
      <c r="D36" s="668"/>
    </row>
    <row r="37" spans="1:7">
      <c r="D37" s="668"/>
    </row>
    <row r="38" spans="1:7">
      <c r="D38" s="668"/>
    </row>
    <row r="39" spans="1:7">
      <c r="D39" s="668"/>
    </row>
    <row r="40" spans="1:7">
      <c r="B40" s="919" t="s">
        <v>741</v>
      </c>
      <c r="D40" s="668"/>
    </row>
    <row r="41" spans="1:7">
      <c r="B41" s="279" t="s">
        <v>144</v>
      </c>
      <c r="D41" s="668"/>
      <c r="E41"/>
    </row>
    <row r="42" spans="1:7" ht="27.6" customHeight="1">
      <c r="B42" s="1027" t="s">
        <v>145</v>
      </c>
      <c r="C42" s="1027"/>
      <c r="D42" s="1027"/>
      <c r="E42" s="1027" t="s">
        <v>146</v>
      </c>
      <c r="F42" s="1027"/>
    </row>
    <row r="43" spans="1:7" ht="26.25">
      <c r="B43" s="85" t="s">
        <v>147</v>
      </c>
      <c r="C43" s="85" t="s">
        <v>148</v>
      </c>
      <c r="D43" s="85" t="s">
        <v>149</v>
      </c>
      <c r="E43" s="85" t="s">
        <v>150</v>
      </c>
      <c r="F43" s="85" t="s">
        <v>151</v>
      </c>
    </row>
    <row r="44" spans="1:7">
      <c r="A44" s="665" t="s">
        <v>152</v>
      </c>
      <c r="B44" s="667">
        <v>0.71261962592759309</v>
      </c>
      <c r="C44" s="673">
        <v>1.1040690932295301E-2</v>
      </c>
      <c r="D44" s="673">
        <v>1.58660479002487E-2</v>
      </c>
      <c r="E44" s="667">
        <v>0.73856391753243411</v>
      </c>
      <c r="F44" s="674">
        <v>0.85530463605247609</v>
      </c>
    </row>
    <row r="45" spans="1:7">
      <c r="D45" s="668"/>
    </row>
    <row r="47" spans="1:7">
      <c r="B47" s="919" t="s">
        <v>741</v>
      </c>
    </row>
    <row r="48" spans="1:7">
      <c r="A48" s="444"/>
      <c r="B48" s="1020" t="s">
        <v>153</v>
      </c>
      <c r="C48" s="1020"/>
      <c r="D48" s="1020"/>
      <c r="E48" s="1020"/>
    </row>
    <row r="49" spans="1:5" s="677" customFormat="1" ht="27" customHeight="1">
      <c r="A49" s="675"/>
      <c r="B49" s="1021" t="s">
        <v>154</v>
      </c>
      <c r="C49" s="1021"/>
      <c r="D49" s="1022" t="s">
        <v>155</v>
      </c>
      <c r="E49" s="1022"/>
    </row>
    <row r="50" spans="1:5" s="677" customFormat="1">
      <c r="A50" s="675">
        <v>2008</v>
      </c>
      <c r="B50" s="676" t="s">
        <v>156</v>
      </c>
      <c r="C50" s="676"/>
      <c r="D50" s="676"/>
      <c r="E50" s="676" t="s">
        <v>157</v>
      </c>
    </row>
    <row r="51" spans="1:5" s="677" customFormat="1">
      <c r="A51" s="675">
        <v>2009</v>
      </c>
      <c r="B51" s="676" t="s">
        <v>158</v>
      </c>
      <c r="C51" s="676"/>
      <c r="D51" s="676"/>
      <c r="E51" s="676" t="s">
        <v>159</v>
      </c>
    </row>
    <row r="52" spans="1:5" s="677" customFormat="1">
      <c r="A52" s="675">
        <v>2010</v>
      </c>
      <c r="B52" s="676" t="s">
        <v>160</v>
      </c>
      <c r="C52" s="676"/>
      <c r="D52" s="676"/>
      <c r="E52" s="676" t="s">
        <v>161</v>
      </c>
    </row>
    <row r="53" spans="1:5" s="677" customFormat="1">
      <c r="A53" s="675">
        <v>2011</v>
      </c>
      <c r="B53" s="676" t="s">
        <v>162</v>
      </c>
      <c r="C53" s="676"/>
      <c r="D53" s="676"/>
      <c r="E53" s="676" t="s">
        <v>163</v>
      </c>
    </row>
    <row r="54" spans="1:5" s="677" customFormat="1">
      <c r="A54" s="675">
        <v>2012</v>
      </c>
      <c r="B54" s="676" t="s">
        <v>164</v>
      </c>
      <c r="C54" s="676"/>
      <c r="D54" s="676"/>
      <c r="E54" s="676" t="s">
        <v>165</v>
      </c>
    </row>
    <row r="55" spans="1:5" s="677" customFormat="1">
      <c r="A55" s="675"/>
      <c r="B55" s="676"/>
      <c r="C55" s="676"/>
      <c r="D55" s="676"/>
      <c r="E55" s="676"/>
    </row>
    <row r="56" spans="1:5" s="677" customFormat="1" ht="30.75" customHeight="1">
      <c r="A56" s="678" t="s">
        <v>166</v>
      </c>
      <c r="B56" s="1023" t="s">
        <v>167</v>
      </c>
      <c r="C56" s="1023"/>
      <c r="D56" s="679"/>
      <c r="E56" s="680" t="s">
        <v>168</v>
      </c>
    </row>
    <row r="57" spans="1:5">
      <c r="D57" s="668"/>
    </row>
    <row r="58" spans="1:5">
      <c r="D58" s="668"/>
    </row>
    <row r="60" spans="1:5">
      <c r="D60" s="668"/>
    </row>
    <row r="64" spans="1:5">
      <c r="D64" s="668"/>
    </row>
    <row r="66" spans="3:4">
      <c r="D66" s="668"/>
    </row>
    <row r="69" spans="3:4">
      <c r="D69" s="668"/>
    </row>
    <row r="70" spans="3:4">
      <c r="C70" s="668"/>
      <c r="D70" s="668"/>
    </row>
    <row r="73" spans="3:4">
      <c r="D73" s="668"/>
    </row>
    <row r="76" spans="3:4">
      <c r="D76" s="668"/>
    </row>
    <row r="77" spans="3:4">
      <c r="D77" s="668"/>
    </row>
    <row r="79" spans="3:4">
      <c r="D79" s="668"/>
    </row>
    <row r="80" spans="3:4">
      <c r="D80" s="668"/>
    </row>
    <row r="81" spans="3:4">
      <c r="D81" s="668"/>
    </row>
    <row r="82" spans="3:4">
      <c r="C82" s="668"/>
      <c r="D82" s="668"/>
    </row>
    <row r="85" spans="3:4">
      <c r="D85" s="668"/>
    </row>
    <row r="87" spans="3:4">
      <c r="D87" s="668"/>
    </row>
    <row r="94" spans="3:4">
      <c r="C94" s="668"/>
    </row>
    <row r="97" spans="4:4">
      <c r="D97" s="668"/>
    </row>
    <row r="100" spans="4:4">
      <c r="D100" s="668"/>
    </row>
    <row r="101" spans="4:4">
      <c r="D101" s="668"/>
    </row>
    <row r="108" spans="4:4">
      <c r="D108" s="668"/>
    </row>
    <row r="109" spans="4:4">
      <c r="D109" s="668"/>
    </row>
    <row r="111" spans="4:4">
      <c r="D111" s="668"/>
    </row>
    <row r="112" spans="4:4">
      <c r="D112" s="668"/>
    </row>
    <row r="115" spans="3:4">
      <c r="D115" s="668"/>
    </row>
    <row r="116" spans="3:4">
      <c r="D116" s="668"/>
    </row>
    <row r="117" spans="3:4">
      <c r="D117" s="668"/>
    </row>
    <row r="118" spans="3:4">
      <c r="C118" s="668"/>
      <c r="D118" s="668"/>
    </row>
    <row r="119" spans="3:4">
      <c r="D119" s="668"/>
    </row>
    <row r="120" spans="3:4">
      <c r="D120" s="668"/>
    </row>
    <row r="122" spans="3:4">
      <c r="D122" s="668"/>
    </row>
    <row r="123" spans="3:4">
      <c r="D123" s="668"/>
    </row>
    <row r="126" spans="3:4">
      <c r="D126" s="668"/>
    </row>
    <row r="128" spans="3:4">
      <c r="D128" s="668"/>
    </row>
    <row r="130" spans="3:4">
      <c r="C130" s="668"/>
    </row>
    <row r="131" spans="3:4">
      <c r="D131" s="668"/>
    </row>
    <row r="137" spans="3:4">
      <c r="D137" s="668"/>
    </row>
    <row r="145" spans="4:4">
      <c r="D145" s="668"/>
    </row>
    <row r="147" spans="4:4">
      <c r="D147" s="668"/>
    </row>
  </sheetData>
  <mergeCells count="9">
    <mergeCell ref="B48:E48"/>
    <mergeCell ref="B49:C49"/>
    <mergeCell ref="D49:E49"/>
    <mergeCell ref="B56:C56"/>
    <mergeCell ref="A1:G1"/>
    <mergeCell ref="A3:G3"/>
    <mergeCell ref="A4:C4"/>
    <mergeCell ref="B42:D42"/>
    <mergeCell ref="E42:F42"/>
  </mergeCells>
  <phoneticPr fontId="37" type="noConversion"/>
  <pageMargins left="0.74791666666666667" right="0.74791666666666667" top="0.98402777777777772" bottom="0.98402777777777772" header="0.51180555555555551" footer="0.51180555555555551"/>
  <pageSetup firstPageNumber="0"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dimension ref="A1:AY100"/>
  <sheetViews>
    <sheetView topLeftCell="A67" workbookViewId="0">
      <selection activeCell="J7" sqref="J7"/>
    </sheetView>
  </sheetViews>
  <sheetFormatPr defaultRowHeight="12.75"/>
  <cols>
    <col min="3" max="3" width="16.83203125" customWidth="1"/>
    <col min="4" max="4" width="14.6640625" customWidth="1"/>
    <col min="5" max="5" width="17.1640625" customWidth="1"/>
    <col min="6" max="7" width="15.1640625" customWidth="1"/>
    <col min="8" max="8" width="18" customWidth="1"/>
    <col min="9" max="9" width="18.1640625" customWidth="1"/>
    <col min="10" max="10" width="16.1640625" customWidth="1"/>
    <col min="11" max="11" width="11.1640625" customWidth="1"/>
    <col min="12" max="12" width="13" customWidth="1"/>
    <col min="13" max="13" width="11.33203125" customWidth="1"/>
    <col min="14" max="14" width="12.83203125" customWidth="1"/>
  </cols>
  <sheetData>
    <row r="1" spans="1:51" s="144" customFormat="1" ht="14.25">
      <c r="A1" s="146"/>
      <c r="B1" s="138"/>
      <c r="C1" s="373" t="s">
        <v>443</v>
      </c>
      <c r="D1" s="138"/>
      <c r="F1" s="967" t="str">
        <f>Ogolne!D5</f>
        <v>Bydgoszcz</v>
      </c>
      <c r="G1" s="967"/>
      <c r="H1" s="967"/>
      <c r="I1" s="967"/>
      <c r="J1" s="140"/>
      <c r="K1" s="140"/>
      <c r="L1" s="146"/>
      <c r="M1" s="140"/>
      <c r="N1" s="140"/>
      <c r="O1" s="140"/>
      <c r="P1" s="140"/>
      <c r="Q1" s="141"/>
      <c r="R1" s="140"/>
      <c r="S1" s="140"/>
      <c r="T1" s="140"/>
      <c r="U1" s="140"/>
      <c r="V1" s="140"/>
      <c r="W1" s="140"/>
      <c r="X1" s="140"/>
      <c r="Y1" s="140"/>
      <c r="Z1" s="140"/>
      <c r="AA1" s="140"/>
      <c r="AB1" s="138"/>
      <c r="AC1" s="138"/>
      <c r="AD1" s="138"/>
      <c r="AE1" s="138"/>
      <c r="AF1" s="138"/>
      <c r="AG1" s="138"/>
      <c r="AH1" s="138"/>
      <c r="AI1" s="138"/>
      <c r="AJ1" s="142"/>
      <c r="AK1" s="142"/>
      <c r="AL1" s="142"/>
      <c r="AM1" s="142"/>
      <c r="AN1" s="142"/>
      <c r="AO1" s="142"/>
      <c r="AP1" s="138"/>
      <c r="AQ1" s="143"/>
      <c r="AR1" s="138"/>
      <c r="AS1" s="138"/>
      <c r="AT1" s="138"/>
      <c r="AU1" s="138"/>
      <c r="AV1" s="138"/>
      <c r="AW1" s="138"/>
      <c r="AX1" s="138"/>
      <c r="AY1" s="138"/>
    </row>
    <row r="2" spans="1:51">
      <c r="A2" s="146"/>
      <c r="B2" s="146"/>
      <c r="C2" s="146"/>
      <c r="D2" s="146"/>
      <c r="E2" s="146"/>
      <c r="F2" s="146"/>
      <c r="G2" s="146"/>
      <c r="H2" s="146"/>
      <c r="I2" s="146"/>
      <c r="J2" s="146"/>
      <c r="K2" s="146"/>
      <c r="L2" s="146"/>
      <c r="Q2" s="146"/>
      <c r="R2" s="146"/>
    </row>
    <row r="3" spans="1:51" ht="26.25">
      <c r="A3" s="146"/>
      <c r="B3" s="146"/>
      <c r="C3" s="934" t="s">
        <v>742</v>
      </c>
      <c r="D3" s="934"/>
      <c r="E3" s="934"/>
      <c r="F3" s="934"/>
      <c r="G3" s="934"/>
      <c r="H3" s="934"/>
      <c r="I3" s="934"/>
      <c r="J3" s="146"/>
      <c r="K3" s="146"/>
      <c r="L3" s="146"/>
      <c r="Q3" s="146"/>
      <c r="R3" s="146"/>
    </row>
    <row r="4" spans="1:51" ht="15.75">
      <c r="A4" s="146"/>
      <c r="B4" s="146"/>
      <c r="C4" s="146"/>
      <c r="E4" s="149" t="s">
        <v>538</v>
      </c>
      <c r="F4" s="376">
        <f>comyear</f>
        <v>2005</v>
      </c>
      <c r="G4" s="146"/>
      <c r="H4" s="146"/>
      <c r="I4" s="146"/>
      <c r="J4" s="146"/>
      <c r="K4" s="146"/>
      <c r="L4" s="146"/>
      <c r="Q4" s="146"/>
      <c r="R4" s="146"/>
    </row>
    <row r="5" spans="1:51">
      <c r="A5" s="146"/>
      <c r="B5" s="146"/>
      <c r="C5" s="146"/>
      <c r="D5" s="146"/>
      <c r="E5" s="146"/>
      <c r="F5" s="146"/>
      <c r="G5" s="146"/>
      <c r="H5" s="146"/>
      <c r="I5" s="146"/>
      <c r="J5" s="146"/>
      <c r="K5" s="146"/>
      <c r="L5" s="146"/>
      <c r="Q5" s="146"/>
      <c r="R5" s="146"/>
    </row>
    <row r="6" spans="1:51" ht="13.5">
      <c r="A6" s="146"/>
      <c r="B6" s="146"/>
      <c r="C6" s="534" t="s">
        <v>442</v>
      </c>
      <c r="D6" s="681" t="s">
        <v>743</v>
      </c>
      <c r="E6" s="535"/>
      <c r="F6" s="535"/>
      <c r="G6" s="535"/>
      <c r="H6" s="535"/>
      <c r="I6" s="535"/>
      <c r="J6" s="146"/>
      <c r="K6" s="146"/>
      <c r="L6" s="146"/>
      <c r="Q6" s="146"/>
      <c r="R6" s="146"/>
    </row>
    <row r="7" spans="1:51">
      <c r="A7" s="146"/>
      <c r="B7" s="146"/>
      <c r="C7" s="146"/>
      <c r="D7" s="146"/>
      <c r="E7" s="146"/>
      <c r="F7" s="146"/>
      <c r="G7" s="146"/>
      <c r="H7" s="146"/>
      <c r="I7" s="146"/>
      <c r="J7" s="146"/>
      <c r="K7" s="146"/>
      <c r="L7" s="146"/>
      <c r="Q7" s="146"/>
      <c r="R7" s="146"/>
    </row>
    <row r="8" spans="1:51" s="685" customFormat="1">
      <c r="A8" s="682"/>
      <c r="B8" s="682"/>
      <c r="C8" s="682"/>
      <c r="D8" s="682"/>
      <c r="E8" s="683"/>
      <c r="F8" s="683"/>
      <c r="G8" s="682"/>
      <c r="H8" s="682"/>
      <c r="I8" s="682"/>
      <c r="J8" s="682"/>
      <c r="K8" s="682"/>
      <c r="L8" s="682"/>
      <c r="M8" s="684"/>
      <c r="Q8" s="682"/>
      <c r="R8" s="682"/>
    </row>
    <row r="9" spans="1:51">
      <c r="A9" s="146"/>
      <c r="B9" s="146"/>
      <c r="C9" s="146"/>
      <c r="D9" s="146"/>
      <c r="E9" s="146"/>
      <c r="F9" s="146"/>
      <c r="G9" s="146"/>
      <c r="H9" s="146"/>
      <c r="I9" s="146"/>
      <c r="J9" s="146"/>
      <c r="K9" s="146"/>
      <c r="L9" s="146"/>
      <c r="Q9" s="146"/>
      <c r="R9" s="146"/>
    </row>
    <row r="10" spans="1:51">
      <c r="A10" s="146"/>
      <c r="B10" s="1028" t="s">
        <v>169</v>
      </c>
      <c r="C10" s="1028"/>
      <c r="D10" s="1028"/>
      <c r="E10" s="1028"/>
      <c r="F10" s="146"/>
      <c r="G10" s="146"/>
      <c r="L10" s="146"/>
      <c r="M10" s="146"/>
      <c r="N10" s="146"/>
    </row>
    <row r="11" spans="1:51" s="688" customFormat="1" ht="63.75" customHeight="1">
      <c r="A11" s="146"/>
      <c r="B11" s="1031" t="s">
        <v>499</v>
      </c>
      <c r="C11" s="1031"/>
      <c r="D11" s="1031"/>
      <c r="E11" s="1031"/>
      <c r="F11" s="687" t="s">
        <v>170</v>
      </c>
      <c r="G11" s="146"/>
      <c r="H11" s="687" t="s">
        <v>171</v>
      </c>
      <c r="I11" s="538" t="s">
        <v>172</v>
      </c>
    </row>
    <row r="12" spans="1:51">
      <c r="A12" s="146"/>
      <c r="B12" s="1028" t="s">
        <v>436</v>
      </c>
      <c r="C12" s="1028"/>
      <c r="D12" s="1028"/>
      <c r="E12" s="1028"/>
      <c r="F12" s="686" t="s">
        <v>173</v>
      </c>
      <c r="G12" s="146"/>
      <c r="H12" s="686"/>
      <c r="I12" s="686"/>
    </row>
    <row r="13" spans="1:51" s="539" customFormat="1">
      <c r="A13" s="146"/>
      <c r="B13" s="689" t="s">
        <v>171</v>
      </c>
      <c r="C13" s="689" t="s">
        <v>174</v>
      </c>
      <c r="D13" s="689" t="s">
        <v>175</v>
      </c>
      <c r="E13" s="689" t="s">
        <v>37</v>
      </c>
      <c r="F13" s="538" t="s">
        <v>176</v>
      </c>
      <c r="G13" s="146"/>
      <c r="H13" s="538" t="s">
        <v>171</v>
      </c>
      <c r="I13" s="538" t="s">
        <v>102</v>
      </c>
    </row>
    <row r="14" spans="1:51" s="330" customFormat="1">
      <c r="A14" s="146"/>
      <c r="B14" s="447">
        <v>1990</v>
      </c>
      <c r="C14" s="690">
        <v>17217</v>
      </c>
      <c r="D14" s="690">
        <v>23360</v>
      </c>
      <c r="E14" s="690">
        <f>SUM(C14:D14)</f>
        <v>40577</v>
      </c>
      <c r="F14" s="690">
        <v>12179</v>
      </c>
      <c r="G14" s="146"/>
      <c r="H14" s="691">
        <f t="shared" ref="H14:H34" si="0">B14</f>
        <v>1990</v>
      </c>
      <c r="I14" s="692">
        <f t="shared" ref="I14:I34" si="1">F14/E14</f>
        <v>0.30014540256795724</v>
      </c>
    </row>
    <row r="15" spans="1:51" s="330" customFormat="1">
      <c r="A15" s="146"/>
      <c r="B15" s="447">
        <v>1991</v>
      </c>
      <c r="C15" s="693"/>
      <c r="D15" s="693"/>
      <c r="E15" s="693">
        <v>41371</v>
      </c>
      <c r="F15" s="690">
        <v>12449</v>
      </c>
      <c r="G15" s="146"/>
      <c r="H15" s="691">
        <f t="shared" si="0"/>
        <v>1991</v>
      </c>
      <c r="I15" s="692">
        <f t="shared" si="1"/>
        <v>0.30091126634599114</v>
      </c>
    </row>
    <row r="16" spans="1:51" s="330" customFormat="1">
      <c r="A16" s="146"/>
      <c r="B16" s="447">
        <v>1992</v>
      </c>
      <c r="C16" s="693"/>
      <c r="D16" s="693"/>
      <c r="E16" s="693">
        <v>40862</v>
      </c>
      <c r="F16" s="690">
        <v>12071</v>
      </c>
      <c r="G16" s="146"/>
      <c r="H16" s="691">
        <f t="shared" si="0"/>
        <v>1992</v>
      </c>
      <c r="I16" s="692">
        <f t="shared" si="1"/>
        <v>0.29540893739905044</v>
      </c>
    </row>
    <row r="17" spans="1:9" s="330" customFormat="1">
      <c r="A17" s="146"/>
      <c r="B17" s="447">
        <v>1993</v>
      </c>
      <c r="C17" s="693"/>
      <c r="D17" s="693"/>
      <c r="E17" s="693">
        <v>41163</v>
      </c>
      <c r="F17" s="690">
        <v>11944</v>
      </c>
      <c r="G17" s="146"/>
      <c r="H17" s="691">
        <f t="shared" si="0"/>
        <v>1993</v>
      </c>
      <c r="I17" s="692">
        <f t="shared" si="1"/>
        <v>0.29016349634380389</v>
      </c>
    </row>
    <row r="18" spans="1:9" s="330" customFormat="1">
      <c r="A18" s="146"/>
      <c r="B18" s="447">
        <v>1994</v>
      </c>
      <c r="C18" s="693"/>
      <c r="D18" s="693"/>
      <c r="E18" s="693">
        <v>40641</v>
      </c>
      <c r="F18" s="690">
        <v>12051</v>
      </c>
      <c r="G18" s="146"/>
      <c r="H18" s="691">
        <f t="shared" si="0"/>
        <v>1994</v>
      </c>
      <c r="I18" s="692">
        <f t="shared" si="1"/>
        <v>0.29652321547206023</v>
      </c>
    </row>
    <row r="19" spans="1:9" s="330" customFormat="1">
      <c r="A19" s="146"/>
      <c r="B19" s="447">
        <v>1995</v>
      </c>
      <c r="C19" s="690">
        <v>17223</v>
      </c>
      <c r="D19" s="690">
        <v>23126</v>
      </c>
      <c r="E19" s="690">
        <f>SUM(C19:D19)</f>
        <v>40349</v>
      </c>
      <c r="F19" s="690">
        <v>12267</v>
      </c>
      <c r="G19" s="146"/>
      <c r="H19" s="691">
        <f t="shared" si="0"/>
        <v>1995</v>
      </c>
      <c r="I19" s="692">
        <f t="shared" si="1"/>
        <v>0.30402240452055812</v>
      </c>
    </row>
    <row r="20" spans="1:9" s="330" customFormat="1">
      <c r="A20" s="146"/>
      <c r="B20" s="447">
        <v>1996</v>
      </c>
      <c r="C20" s="693"/>
      <c r="D20" s="693"/>
      <c r="E20" s="693">
        <v>40097</v>
      </c>
      <c r="F20" s="690">
        <v>12323</v>
      </c>
      <c r="G20" s="146"/>
      <c r="H20" s="691">
        <f t="shared" si="0"/>
        <v>1996</v>
      </c>
      <c r="I20" s="692">
        <f t="shared" si="1"/>
        <v>0.30732972541586651</v>
      </c>
    </row>
    <row r="21" spans="1:9" s="330" customFormat="1">
      <c r="A21" s="146"/>
      <c r="B21" s="447">
        <v>1997</v>
      </c>
      <c r="C21" s="693"/>
      <c r="D21" s="693"/>
      <c r="E21" s="693">
        <v>41150</v>
      </c>
      <c r="F21" s="690">
        <v>12377</v>
      </c>
      <c r="G21" s="146"/>
      <c r="H21" s="691">
        <f t="shared" si="0"/>
        <v>1997</v>
      </c>
      <c r="I21" s="692">
        <f t="shared" si="1"/>
        <v>0.30077764277035235</v>
      </c>
    </row>
    <row r="22" spans="1:9" s="330" customFormat="1">
      <c r="A22" s="146"/>
      <c r="B22" s="447">
        <v>1998</v>
      </c>
      <c r="C22" s="693"/>
      <c r="D22" s="693"/>
      <c r="E22" s="693">
        <v>40418</v>
      </c>
      <c r="F22" s="690">
        <v>12292</v>
      </c>
      <c r="G22" s="146"/>
      <c r="H22" s="691">
        <f t="shared" si="0"/>
        <v>1998</v>
      </c>
      <c r="I22" s="692">
        <f t="shared" si="1"/>
        <v>0.30412192587461034</v>
      </c>
    </row>
    <row r="23" spans="1:9" s="330" customFormat="1">
      <c r="A23" s="146"/>
      <c r="B23" s="447">
        <v>1999</v>
      </c>
      <c r="C23" s="693"/>
      <c r="D23" s="693"/>
      <c r="E23" s="693">
        <v>40795</v>
      </c>
      <c r="F23" s="690">
        <v>12429</v>
      </c>
      <c r="G23" s="146"/>
      <c r="H23" s="691">
        <f t="shared" si="0"/>
        <v>1999</v>
      </c>
      <c r="I23" s="692">
        <f t="shared" si="1"/>
        <v>0.30466968991297955</v>
      </c>
    </row>
    <row r="24" spans="1:9" s="330" customFormat="1">
      <c r="A24" s="146"/>
      <c r="B24" s="447">
        <v>2000</v>
      </c>
      <c r="C24" s="690">
        <v>16837</v>
      </c>
      <c r="D24" s="690">
        <v>23103</v>
      </c>
      <c r="E24" s="690">
        <f t="shared" ref="E24:E34" si="2">SUM(C24:D24)</f>
        <v>39940</v>
      </c>
      <c r="F24" s="690">
        <v>12165</v>
      </c>
      <c r="G24" s="146"/>
      <c r="H24" s="691">
        <f t="shared" si="0"/>
        <v>2000</v>
      </c>
      <c r="I24" s="692">
        <f t="shared" si="1"/>
        <v>0.30458187280921384</v>
      </c>
    </row>
    <row r="25" spans="1:9" s="330" customFormat="1">
      <c r="A25" s="146"/>
      <c r="B25" s="447">
        <v>2001</v>
      </c>
      <c r="C25" s="690">
        <v>16076</v>
      </c>
      <c r="D25" s="690">
        <v>22878</v>
      </c>
      <c r="E25" s="690">
        <f t="shared" si="2"/>
        <v>38954</v>
      </c>
      <c r="F25" s="690">
        <v>11340</v>
      </c>
      <c r="G25" s="146"/>
      <c r="H25" s="691">
        <f t="shared" si="0"/>
        <v>2001</v>
      </c>
      <c r="I25" s="692">
        <f t="shared" si="1"/>
        <v>0.29111259434204445</v>
      </c>
    </row>
    <row r="26" spans="1:9" s="330" customFormat="1">
      <c r="A26" s="146"/>
      <c r="B26" s="447">
        <v>2002</v>
      </c>
      <c r="C26" s="690">
        <v>15726</v>
      </c>
      <c r="D26" s="690">
        <v>22524</v>
      </c>
      <c r="E26" s="690">
        <f t="shared" si="2"/>
        <v>38250</v>
      </c>
      <c r="F26" s="690">
        <v>11030</v>
      </c>
      <c r="G26" s="146"/>
      <c r="H26" s="691">
        <f t="shared" si="0"/>
        <v>2002</v>
      </c>
      <c r="I26" s="692">
        <f t="shared" si="1"/>
        <v>0.28836601307189541</v>
      </c>
    </row>
    <row r="27" spans="1:9" s="330" customFormat="1">
      <c r="A27" s="146"/>
      <c r="B27" s="447">
        <v>2003</v>
      </c>
      <c r="C27" s="690">
        <v>15782</v>
      </c>
      <c r="D27" s="690">
        <v>23319</v>
      </c>
      <c r="E27" s="690">
        <f t="shared" si="2"/>
        <v>39101</v>
      </c>
      <c r="F27" s="690">
        <v>11056</v>
      </c>
      <c r="G27" s="146"/>
      <c r="H27" s="691">
        <f t="shared" si="0"/>
        <v>2003</v>
      </c>
      <c r="I27" s="692">
        <f t="shared" si="1"/>
        <v>0.28275491675404724</v>
      </c>
    </row>
    <row r="28" spans="1:9" s="330" customFormat="1">
      <c r="A28" s="146"/>
      <c r="B28" s="447">
        <v>2004</v>
      </c>
      <c r="C28" s="690">
        <v>15540</v>
      </c>
      <c r="D28" s="690">
        <v>22378</v>
      </c>
      <c r="E28" s="690">
        <f t="shared" si="2"/>
        <v>37918</v>
      </c>
      <c r="F28" s="690">
        <v>10836</v>
      </c>
      <c r="G28" s="146"/>
      <c r="H28" s="691">
        <f t="shared" si="0"/>
        <v>2004</v>
      </c>
      <c r="I28" s="692">
        <f t="shared" si="1"/>
        <v>0.28577456616910174</v>
      </c>
    </row>
    <row r="29" spans="1:9" s="330" customFormat="1">
      <c r="A29" s="146"/>
      <c r="B29" s="447">
        <v>2005</v>
      </c>
      <c r="C29" s="690">
        <v>15480</v>
      </c>
      <c r="D29" s="690">
        <v>21761</v>
      </c>
      <c r="E29" s="690">
        <f t="shared" si="2"/>
        <v>37241</v>
      </c>
      <c r="F29" s="690">
        <v>10844</v>
      </c>
      <c r="G29" s="146"/>
      <c r="H29" s="691">
        <f t="shared" si="0"/>
        <v>2005</v>
      </c>
      <c r="I29" s="692">
        <f t="shared" si="1"/>
        <v>0.29118444724899978</v>
      </c>
    </row>
    <row r="30" spans="1:9" s="330" customFormat="1">
      <c r="A30" s="146"/>
      <c r="B30" s="447">
        <v>2006</v>
      </c>
      <c r="C30" s="690">
        <v>15149</v>
      </c>
      <c r="D30" s="690">
        <v>21478</v>
      </c>
      <c r="E30" s="690">
        <f t="shared" si="2"/>
        <v>36627</v>
      </c>
      <c r="F30" s="690">
        <v>10629</v>
      </c>
      <c r="G30" s="146"/>
      <c r="H30" s="691">
        <f t="shared" si="0"/>
        <v>2006</v>
      </c>
      <c r="I30" s="692">
        <f t="shared" si="1"/>
        <v>0.29019575722827423</v>
      </c>
    </row>
    <row r="31" spans="1:9" s="330" customFormat="1">
      <c r="A31" s="146"/>
      <c r="B31" s="447">
        <v>2007</v>
      </c>
      <c r="C31" s="690">
        <v>15619</v>
      </c>
      <c r="D31" s="690">
        <v>21591</v>
      </c>
      <c r="E31" s="690">
        <f t="shared" si="2"/>
        <v>37210</v>
      </c>
      <c r="F31" s="690">
        <v>11027</v>
      </c>
      <c r="G31" s="146"/>
      <c r="H31" s="691">
        <f t="shared" si="0"/>
        <v>2007</v>
      </c>
      <c r="I31" s="692">
        <f t="shared" si="1"/>
        <v>0.29634506852996506</v>
      </c>
    </row>
    <row r="32" spans="1:9" s="330" customFormat="1">
      <c r="A32" s="146"/>
      <c r="B32" s="447">
        <v>2008</v>
      </c>
      <c r="C32" s="590">
        <v>15619</v>
      </c>
      <c r="D32" s="590">
        <v>21591</v>
      </c>
      <c r="E32" s="590">
        <f t="shared" si="2"/>
        <v>37210</v>
      </c>
      <c r="F32" s="590">
        <v>11027</v>
      </c>
      <c r="G32" s="146"/>
      <c r="H32" s="691">
        <f t="shared" si="0"/>
        <v>2008</v>
      </c>
      <c r="I32" s="692">
        <f t="shared" si="1"/>
        <v>0.29634506852996506</v>
      </c>
    </row>
    <row r="33" spans="1:16">
      <c r="A33" s="146"/>
      <c r="B33" s="447">
        <v>2009</v>
      </c>
      <c r="C33" s="590">
        <v>15619</v>
      </c>
      <c r="D33" s="590">
        <v>21591</v>
      </c>
      <c r="E33" s="590">
        <f t="shared" si="2"/>
        <v>37210</v>
      </c>
      <c r="F33" s="590">
        <v>11027</v>
      </c>
      <c r="G33" s="146"/>
      <c r="H33" s="691">
        <f t="shared" si="0"/>
        <v>2009</v>
      </c>
      <c r="I33" s="692">
        <f t="shared" si="1"/>
        <v>0.29634506852996506</v>
      </c>
    </row>
    <row r="34" spans="1:16">
      <c r="A34" s="146"/>
      <c r="B34" s="447">
        <v>2010</v>
      </c>
      <c r="C34" s="590">
        <v>15619</v>
      </c>
      <c r="D34" s="590">
        <v>21591</v>
      </c>
      <c r="E34" s="590">
        <f t="shared" si="2"/>
        <v>37210</v>
      </c>
      <c r="F34" s="590">
        <v>11027</v>
      </c>
      <c r="G34" s="146"/>
      <c r="H34" s="691">
        <f t="shared" si="0"/>
        <v>2010</v>
      </c>
      <c r="I34" s="692">
        <f t="shared" si="1"/>
        <v>0.29634506852996506</v>
      </c>
    </row>
    <row r="35" spans="1:16">
      <c r="A35" s="146"/>
      <c r="G35" s="146"/>
    </row>
    <row r="36" spans="1:16">
      <c r="A36" s="146"/>
      <c r="B36" s="694" t="s">
        <v>177</v>
      </c>
      <c r="C36" s="694"/>
      <c r="D36" s="694"/>
      <c r="E36" s="694"/>
      <c r="F36" s="694"/>
      <c r="G36" s="146"/>
    </row>
    <row r="37" spans="1:16">
      <c r="A37" s="146"/>
      <c r="B37" s="146"/>
      <c r="C37" s="146"/>
      <c r="D37" s="146"/>
      <c r="E37" s="146"/>
      <c r="F37" s="146"/>
      <c r="G37" s="146"/>
      <c r="H37" s="146"/>
      <c r="I37" s="146"/>
      <c r="J37" s="146"/>
      <c r="K37" s="146"/>
      <c r="L37" s="146"/>
      <c r="M37" s="146"/>
    </row>
    <row r="38" spans="1:16" ht="75" customHeight="1">
      <c r="A38" s="146"/>
      <c r="B38" s="695" t="s">
        <v>178</v>
      </c>
      <c r="C38" s="1029" t="s">
        <v>721</v>
      </c>
      <c r="D38" s="1029"/>
      <c r="E38" s="1029"/>
      <c r="F38" s="1029"/>
      <c r="G38" s="1029"/>
      <c r="H38" s="1029"/>
      <c r="I38" s="1029"/>
      <c r="J38" s="1029"/>
      <c r="K38" s="1029"/>
      <c r="L38" s="1029"/>
    </row>
    <row r="39" spans="1:16" s="146" customFormat="1"/>
    <row r="40" spans="1:16" ht="12.95" customHeight="1">
      <c r="A40" s="146"/>
      <c r="B40" s="147"/>
      <c r="C40" s="1030" t="s">
        <v>179</v>
      </c>
      <c r="D40" s="1030"/>
      <c r="E40" s="1030"/>
      <c r="F40" s="1030"/>
      <c r="G40" s="1030"/>
      <c r="H40" s="1030"/>
      <c r="I40" s="1030"/>
      <c r="J40" s="1030"/>
      <c r="K40" s="1030"/>
      <c r="L40" s="1030"/>
      <c r="M40" s="1030"/>
      <c r="N40" s="137"/>
      <c r="O40" s="137"/>
      <c r="P40" s="137"/>
    </row>
    <row r="41" spans="1:16">
      <c r="A41" s="146"/>
      <c r="B41" s="146"/>
      <c r="C41" s="146"/>
      <c r="D41" s="146"/>
      <c r="E41" s="146"/>
      <c r="F41" s="146"/>
      <c r="G41" s="146"/>
      <c r="H41" s="146"/>
      <c r="I41" s="146"/>
      <c r="J41" s="146"/>
      <c r="K41" s="146"/>
      <c r="L41" s="146"/>
      <c r="M41" s="696" t="s">
        <v>180</v>
      </c>
    </row>
    <row r="42" spans="1:16" ht="26.25" customHeight="1">
      <c r="A42" s="146"/>
      <c r="B42" s="697" t="s">
        <v>171</v>
      </c>
      <c r="C42" s="698" t="s">
        <v>103</v>
      </c>
      <c r="D42" s="698" t="s">
        <v>104</v>
      </c>
      <c r="E42" s="698" t="s">
        <v>105</v>
      </c>
      <c r="F42" s="698" t="s">
        <v>106</v>
      </c>
      <c r="G42" s="698" t="s">
        <v>107</v>
      </c>
      <c r="H42" s="697" t="s">
        <v>108</v>
      </c>
      <c r="I42" s="697" t="s">
        <v>109</v>
      </c>
      <c r="J42" s="698" t="s">
        <v>110</v>
      </c>
      <c r="K42" s="698" t="s">
        <v>111</v>
      </c>
      <c r="L42" s="698" t="s">
        <v>112</v>
      </c>
      <c r="M42" s="698" t="s">
        <v>113</v>
      </c>
      <c r="O42" s="539"/>
    </row>
    <row r="43" spans="1:16">
      <c r="A43" s="146"/>
      <c r="B43" s="447">
        <v>1990</v>
      </c>
      <c r="C43" s="699">
        <v>92.8</v>
      </c>
      <c r="D43" s="699">
        <v>45.6</v>
      </c>
      <c r="E43" s="699">
        <v>61.7</v>
      </c>
      <c r="F43" s="699">
        <v>8</v>
      </c>
      <c r="G43" s="699">
        <v>5</v>
      </c>
      <c r="H43" s="700">
        <v>18</v>
      </c>
      <c r="I43" s="700">
        <v>10</v>
      </c>
      <c r="J43" s="700">
        <v>1.5</v>
      </c>
      <c r="K43" s="700">
        <v>1.5</v>
      </c>
      <c r="L43" s="699">
        <v>0.08</v>
      </c>
      <c r="M43" s="699">
        <v>0.08</v>
      </c>
      <c r="N43" s="330"/>
      <c r="O43" s="330"/>
    </row>
    <row r="44" spans="1:16">
      <c r="A44" s="146"/>
      <c r="B44" s="447">
        <v>1991</v>
      </c>
      <c r="C44" s="699">
        <v>97.7</v>
      </c>
      <c r="D44" s="699">
        <v>47.5</v>
      </c>
      <c r="E44" s="699">
        <v>62.9</v>
      </c>
      <c r="F44" s="699">
        <v>8</v>
      </c>
      <c r="G44" s="699">
        <v>5</v>
      </c>
      <c r="H44" s="700">
        <v>18</v>
      </c>
      <c r="I44" s="700">
        <v>10</v>
      </c>
      <c r="J44" s="700">
        <v>1.5</v>
      </c>
      <c r="K44" s="700">
        <v>1.5</v>
      </c>
      <c r="L44" s="699">
        <v>0.08</v>
      </c>
      <c r="M44" s="699">
        <v>0.08</v>
      </c>
      <c r="N44" s="330"/>
      <c r="O44" s="330"/>
    </row>
    <row r="45" spans="1:16">
      <c r="A45" s="146"/>
      <c r="B45" s="447">
        <v>1992</v>
      </c>
      <c r="C45" s="699">
        <v>100.9</v>
      </c>
      <c r="D45" s="699">
        <v>47.5</v>
      </c>
      <c r="E45" s="699">
        <v>62.4</v>
      </c>
      <c r="F45" s="699">
        <v>8</v>
      </c>
      <c r="G45" s="699">
        <v>5</v>
      </c>
      <c r="H45" s="700">
        <v>18</v>
      </c>
      <c r="I45" s="700">
        <v>10</v>
      </c>
      <c r="J45" s="700">
        <v>1.5</v>
      </c>
      <c r="K45" s="700">
        <v>1.5</v>
      </c>
      <c r="L45" s="699">
        <v>0.08</v>
      </c>
      <c r="M45" s="699">
        <v>0.08</v>
      </c>
      <c r="N45" s="330"/>
      <c r="O45" s="330"/>
    </row>
    <row r="46" spans="1:16">
      <c r="A46" s="146"/>
      <c r="B46" s="447">
        <v>1993</v>
      </c>
      <c r="C46" s="699">
        <v>100.6</v>
      </c>
      <c r="D46" s="699">
        <v>47.4</v>
      </c>
      <c r="E46" s="699">
        <v>65.5</v>
      </c>
      <c r="F46" s="699">
        <v>8</v>
      </c>
      <c r="G46" s="699">
        <v>5</v>
      </c>
      <c r="H46" s="700">
        <v>18</v>
      </c>
      <c r="I46" s="700">
        <v>10</v>
      </c>
      <c r="J46" s="700">
        <v>1.5</v>
      </c>
      <c r="K46" s="700">
        <v>1.5</v>
      </c>
      <c r="L46" s="699">
        <v>0.08</v>
      </c>
      <c r="M46" s="699">
        <v>0.08</v>
      </c>
      <c r="N46" s="330"/>
      <c r="O46" s="330"/>
    </row>
    <row r="47" spans="1:16">
      <c r="A47" s="146"/>
      <c r="B47" s="447">
        <v>1994</v>
      </c>
      <c r="C47" s="699">
        <v>103.4</v>
      </c>
      <c r="D47" s="699">
        <v>48.7</v>
      </c>
      <c r="E47" s="699">
        <v>65.599999999999994</v>
      </c>
      <c r="F47" s="699">
        <v>8</v>
      </c>
      <c r="G47" s="699">
        <v>5</v>
      </c>
      <c r="H47" s="700">
        <v>18</v>
      </c>
      <c r="I47" s="700">
        <v>10</v>
      </c>
      <c r="J47" s="700">
        <v>1.5</v>
      </c>
      <c r="K47" s="700">
        <v>1.5</v>
      </c>
      <c r="L47" s="699">
        <v>0.08</v>
      </c>
      <c r="M47" s="699">
        <v>0.08</v>
      </c>
      <c r="N47" s="330"/>
      <c r="O47" s="330"/>
    </row>
    <row r="48" spans="1:16">
      <c r="A48" s="146"/>
      <c r="B48" s="447">
        <v>1995</v>
      </c>
      <c r="C48" s="699">
        <v>104.3</v>
      </c>
      <c r="D48" s="699">
        <v>47.4</v>
      </c>
      <c r="E48" s="699">
        <v>63.2</v>
      </c>
      <c r="F48" s="699">
        <v>8</v>
      </c>
      <c r="G48" s="699">
        <v>5</v>
      </c>
      <c r="H48" s="700">
        <v>18</v>
      </c>
      <c r="I48" s="700">
        <v>10</v>
      </c>
      <c r="J48" s="700">
        <v>1.5</v>
      </c>
      <c r="K48" s="700">
        <v>1.5</v>
      </c>
      <c r="L48" s="699">
        <v>0.08</v>
      </c>
      <c r="M48" s="699">
        <v>0.08</v>
      </c>
      <c r="N48" s="330"/>
      <c r="O48" s="330"/>
    </row>
    <row r="49" spans="1:15">
      <c r="A49" s="146"/>
      <c r="B49" s="447">
        <v>1996</v>
      </c>
      <c r="C49" s="699">
        <v>105.8</v>
      </c>
      <c r="D49" s="699">
        <v>47.5</v>
      </c>
      <c r="E49" s="699">
        <v>62.4</v>
      </c>
      <c r="F49" s="699">
        <v>8</v>
      </c>
      <c r="G49" s="699">
        <v>5</v>
      </c>
      <c r="H49" s="700">
        <v>18</v>
      </c>
      <c r="I49" s="700">
        <v>10</v>
      </c>
      <c r="J49" s="700">
        <v>1.5</v>
      </c>
      <c r="K49" s="700">
        <v>1.5</v>
      </c>
      <c r="L49" s="699">
        <v>0.08</v>
      </c>
      <c r="M49" s="699">
        <v>0.08</v>
      </c>
      <c r="N49" s="330"/>
      <c r="O49" s="330"/>
    </row>
    <row r="50" spans="1:15">
      <c r="A50" s="146"/>
      <c r="B50" s="447">
        <v>1997</v>
      </c>
      <c r="C50" s="699">
        <v>106.7</v>
      </c>
      <c r="D50" s="699">
        <v>47.8</v>
      </c>
      <c r="E50" s="699">
        <v>62.9</v>
      </c>
      <c r="F50" s="699">
        <v>8</v>
      </c>
      <c r="G50" s="699">
        <v>5</v>
      </c>
      <c r="H50" s="700">
        <v>18</v>
      </c>
      <c r="I50" s="700">
        <v>10</v>
      </c>
      <c r="J50" s="700">
        <v>1.5</v>
      </c>
      <c r="K50" s="700">
        <v>1.5</v>
      </c>
      <c r="L50" s="699">
        <v>0.08</v>
      </c>
      <c r="M50" s="699">
        <v>0.08</v>
      </c>
      <c r="N50" s="330"/>
      <c r="O50" s="330"/>
    </row>
    <row r="51" spans="1:15">
      <c r="A51" s="146"/>
      <c r="B51" s="447">
        <v>1998</v>
      </c>
      <c r="C51" s="699">
        <v>106.4</v>
      </c>
      <c r="D51" s="699">
        <v>47</v>
      </c>
      <c r="E51" s="699">
        <v>62</v>
      </c>
      <c r="F51" s="699">
        <v>8</v>
      </c>
      <c r="G51" s="699">
        <v>5</v>
      </c>
      <c r="H51" s="700">
        <v>18</v>
      </c>
      <c r="I51" s="700">
        <v>10</v>
      </c>
      <c r="J51" s="700">
        <v>1.5</v>
      </c>
      <c r="K51" s="700">
        <v>1.5</v>
      </c>
      <c r="L51" s="699">
        <v>0.08</v>
      </c>
      <c r="M51" s="699">
        <v>0.08</v>
      </c>
      <c r="N51" s="330"/>
      <c r="O51" s="330"/>
    </row>
    <row r="52" spans="1:15">
      <c r="A52" s="146"/>
      <c r="B52" s="447">
        <v>1999</v>
      </c>
      <c r="C52" s="699">
        <v>106.3</v>
      </c>
      <c r="D52" s="699">
        <v>47.3</v>
      </c>
      <c r="E52" s="699">
        <v>64.900000000000006</v>
      </c>
      <c r="F52" s="699">
        <v>8</v>
      </c>
      <c r="G52" s="699">
        <v>5</v>
      </c>
      <c r="H52" s="700">
        <v>18</v>
      </c>
      <c r="I52" s="700">
        <v>10</v>
      </c>
      <c r="J52" s="700">
        <v>1.5</v>
      </c>
      <c r="K52" s="700">
        <v>1.5</v>
      </c>
      <c r="L52" s="699">
        <v>0.08</v>
      </c>
      <c r="M52" s="699">
        <v>0.08</v>
      </c>
      <c r="N52" s="330"/>
      <c r="O52" s="330"/>
    </row>
    <row r="53" spans="1:15">
      <c r="A53" s="146"/>
      <c r="B53" s="447">
        <v>2000</v>
      </c>
      <c r="C53" s="699">
        <v>105.3</v>
      </c>
      <c r="D53" s="699">
        <v>47</v>
      </c>
      <c r="E53" s="699">
        <v>65.7</v>
      </c>
      <c r="F53" s="699">
        <v>8</v>
      </c>
      <c r="G53" s="699">
        <v>5</v>
      </c>
      <c r="H53" s="700">
        <v>18</v>
      </c>
      <c r="I53" s="700">
        <v>10</v>
      </c>
      <c r="J53" s="700">
        <v>1.5</v>
      </c>
      <c r="K53" s="700">
        <v>1.5</v>
      </c>
      <c r="L53" s="699">
        <v>0.08</v>
      </c>
      <c r="M53" s="699">
        <v>0.08</v>
      </c>
      <c r="N53" s="330"/>
      <c r="O53" s="330"/>
    </row>
    <row r="54" spans="1:15">
      <c r="A54" s="146"/>
      <c r="B54" s="447">
        <v>2001</v>
      </c>
      <c r="C54" s="699">
        <v>104.6</v>
      </c>
      <c r="D54" s="699">
        <v>46.7</v>
      </c>
      <c r="E54" s="699">
        <v>68.2</v>
      </c>
      <c r="F54" s="699">
        <v>8</v>
      </c>
      <c r="G54" s="699">
        <v>5</v>
      </c>
      <c r="H54" s="700">
        <v>18</v>
      </c>
      <c r="I54" s="700">
        <v>10</v>
      </c>
      <c r="J54" s="700">
        <v>1.5</v>
      </c>
      <c r="K54" s="700">
        <v>1.5</v>
      </c>
      <c r="L54" s="699">
        <v>0.08</v>
      </c>
      <c r="M54" s="699">
        <v>0.08</v>
      </c>
      <c r="N54" s="330"/>
      <c r="O54" s="330"/>
    </row>
    <row r="55" spans="1:15">
      <c r="A55" s="146"/>
      <c r="B55" s="447">
        <v>2002</v>
      </c>
      <c r="C55" s="699">
        <v>109.1</v>
      </c>
      <c r="D55" s="699">
        <v>46.5</v>
      </c>
      <c r="E55" s="699">
        <v>66.400000000000006</v>
      </c>
      <c r="F55" s="699">
        <v>8</v>
      </c>
      <c r="G55" s="699">
        <v>5</v>
      </c>
      <c r="H55" s="700">
        <v>18</v>
      </c>
      <c r="I55" s="700">
        <v>10</v>
      </c>
      <c r="J55" s="700">
        <v>1.5</v>
      </c>
      <c r="K55" s="700">
        <v>1.5</v>
      </c>
      <c r="L55" s="699">
        <v>0.08</v>
      </c>
      <c r="M55" s="699">
        <v>0.08</v>
      </c>
      <c r="N55" s="330"/>
      <c r="O55" s="330"/>
    </row>
    <row r="56" spans="1:15">
      <c r="A56" s="146"/>
      <c r="B56" s="447">
        <v>2003</v>
      </c>
      <c r="C56" s="699">
        <v>109</v>
      </c>
      <c r="D56" s="699">
        <v>46.6</v>
      </c>
      <c r="E56" s="699">
        <v>66.2</v>
      </c>
      <c r="F56" s="699">
        <v>8</v>
      </c>
      <c r="G56" s="699">
        <v>5</v>
      </c>
      <c r="H56" s="700">
        <v>18</v>
      </c>
      <c r="I56" s="700">
        <v>10</v>
      </c>
      <c r="J56" s="700">
        <v>1.5</v>
      </c>
      <c r="K56" s="700">
        <v>1.5</v>
      </c>
      <c r="L56" s="699">
        <v>0.08</v>
      </c>
      <c r="M56" s="699">
        <v>0.08</v>
      </c>
      <c r="N56" s="330"/>
      <c r="O56" s="330"/>
    </row>
    <row r="57" spans="1:15">
      <c r="A57" s="146"/>
      <c r="B57" s="447">
        <v>2004</v>
      </c>
      <c r="C57" s="699">
        <v>111.5</v>
      </c>
      <c r="D57" s="699">
        <v>46.3</v>
      </c>
      <c r="E57" s="699">
        <v>68.3</v>
      </c>
      <c r="F57" s="699">
        <v>8</v>
      </c>
      <c r="G57" s="699">
        <v>5</v>
      </c>
      <c r="H57" s="700">
        <v>18</v>
      </c>
      <c r="I57" s="700">
        <v>10</v>
      </c>
      <c r="J57" s="700">
        <v>1.5</v>
      </c>
      <c r="K57" s="700">
        <v>1.5</v>
      </c>
      <c r="L57" s="699">
        <v>0.08</v>
      </c>
      <c r="M57" s="699">
        <v>0.08</v>
      </c>
      <c r="N57" s="330"/>
      <c r="O57" s="330"/>
    </row>
    <row r="58" spans="1:15">
      <c r="A58" s="146"/>
      <c r="B58" s="447">
        <v>2005</v>
      </c>
      <c r="C58" s="699">
        <v>112.9</v>
      </c>
      <c r="D58" s="699">
        <v>46.4</v>
      </c>
      <c r="E58" s="699">
        <v>71</v>
      </c>
      <c r="F58" s="699">
        <v>8</v>
      </c>
      <c r="G58" s="699">
        <v>5</v>
      </c>
      <c r="H58" s="700">
        <v>18</v>
      </c>
      <c r="I58" s="700">
        <v>10</v>
      </c>
      <c r="J58" s="700">
        <v>1.5</v>
      </c>
      <c r="K58" s="700">
        <v>1.5</v>
      </c>
      <c r="L58" s="699">
        <v>0.08</v>
      </c>
      <c r="M58" s="699">
        <v>0.08</v>
      </c>
      <c r="N58" s="330"/>
      <c r="O58" s="330"/>
    </row>
    <row r="59" spans="1:15">
      <c r="A59" s="146"/>
      <c r="B59" s="447">
        <v>2006</v>
      </c>
      <c r="C59" s="699">
        <v>113.24</v>
      </c>
      <c r="D59" s="699">
        <v>44.7</v>
      </c>
      <c r="E59" s="699">
        <v>69.7</v>
      </c>
      <c r="F59" s="699">
        <v>8</v>
      </c>
      <c r="G59" s="699">
        <v>5</v>
      </c>
      <c r="H59" s="700">
        <v>18</v>
      </c>
      <c r="I59" s="700">
        <v>10</v>
      </c>
      <c r="J59" s="700">
        <v>1.5</v>
      </c>
      <c r="K59" s="700">
        <v>1.5</v>
      </c>
      <c r="L59" s="699">
        <v>0.08</v>
      </c>
      <c r="M59" s="699">
        <v>0.08</v>
      </c>
      <c r="N59" s="330"/>
      <c r="O59" s="330"/>
    </row>
    <row r="60" spans="1:15">
      <c r="A60" s="146"/>
      <c r="B60" s="447">
        <v>2007</v>
      </c>
      <c r="C60" s="699">
        <v>113.19</v>
      </c>
      <c r="D60" s="699">
        <v>46.1</v>
      </c>
      <c r="E60" s="699">
        <v>67.099999999999994</v>
      </c>
      <c r="F60" s="699">
        <v>8</v>
      </c>
      <c r="G60" s="699">
        <v>5</v>
      </c>
      <c r="H60" s="700">
        <v>18</v>
      </c>
      <c r="I60" s="700">
        <v>10</v>
      </c>
      <c r="J60" s="700">
        <v>1.5</v>
      </c>
      <c r="K60" s="700">
        <v>1.5</v>
      </c>
      <c r="L60" s="699">
        <v>0.08</v>
      </c>
      <c r="M60" s="699">
        <v>0.08</v>
      </c>
      <c r="N60" s="330"/>
      <c r="O60" s="330"/>
    </row>
    <row r="61" spans="1:15">
      <c r="A61" s="146"/>
      <c r="B61" s="447">
        <v>2008</v>
      </c>
      <c r="C61" s="701">
        <v>113.19</v>
      </c>
      <c r="D61" s="701">
        <v>46.1</v>
      </c>
      <c r="E61" s="701">
        <v>67.099999999999994</v>
      </c>
      <c r="F61" s="701">
        <v>8</v>
      </c>
      <c r="G61" s="701">
        <v>5</v>
      </c>
      <c r="H61" s="701">
        <v>18</v>
      </c>
      <c r="I61" s="701">
        <v>10</v>
      </c>
      <c r="J61" s="701">
        <v>1.5</v>
      </c>
      <c r="K61" s="701">
        <v>1.5</v>
      </c>
      <c r="L61" s="701">
        <v>0.08</v>
      </c>
      <c r="M61" s="701">
        <v>0.08</v>
      </c>
      <c r="N61" s="330" t="s">
        <v>114</v>
      </c>
      <c r="O61" s="330"/>
    </row>
    <row r="62" spans="1:15">
      <c r="A62" s="146"/>
      <c r="B62" s="447">
        <v>2009</v>
      </c>
      <c r="C62" s="701">
        <v>113.19</v>
      </c>
      <c r="D62" s="701">
        <v>46.1</v>
      </c>
      <c r="E62" s="701">
        <v>67.099999999999994</v>
      </c>
      <c r="F62" s="701">
        <v>8</v>
      </c>
      <c r="G62" s="701">
        <v>5</v>
      </c>
      <c r="H62" s="701">
        <v>18</v>
      </c>
      <c r="I62" s="701">
        <v>10</v>
      </c>
      <c r="J62" s="701">
        <v>1.5</v>
      </c>
      <c r="K62" s="701">
        <v>1.5</v>
      </c>
      <c r="L62" s="701">
        <v>0.08</v>
      </c>
      <c r="M62" s="701">
        <v>0.08</v>
      </c>
      <c r="N62" s="330" t="s">
        <v>114</v>
      </c>
    </row>
    <row r="63" spans="1:15">
      <c r="A63" s="146"/>
      <c r="B63" s="447">
        <v>2010</v>
      </c>
      <c r="C63" s="701">
        <v>113.19</v>
      </c>
      <c r="D63" s="701">
        <v>46.1</v>
      </c>
      <c r="E63" s="701">
        <v>67.099999999999994</v>
      </c>
      <c r="F63" s="701">
        <v>8</v>
      </c>
      <c r="G63" s="701">
        <v>5</v>
      </c>
      <c r="H63" s="701">
        <v>18</v>
      </c>
      <c r="I63" s="701">
        <v>10</v>
      </c>
      <c r="J63" s="701">
        <v>1.5</v>
      </c>
      <c r="K63" s="701">
        <v>1.5</v>
      </c>
      <c r="L63" s="701">
        <v>0.08</v>
      </c>
      <c r="M63" s="701">
        <v>0.08</v>
      </c>
      <c r="N63" s="330" t="s">
        <v>114</v>
      </c>
    </row>
    <row r="64" spans="1:15">
      <c r="A64" s="146"/>
      <c r="E64" s="702"/>
      <c r="F64" s="702"/>
      <c r="G64" s="702"/>
      <c r="H64" s="702"/>
      <c r="I64" s="702"/>
      <c r="J64" s="702"/>
      <c r="K64" s="702"/>
      <c r="L64" s="702"/>
      <c r="M64" s="702"/>
    </row>
    <row r="65" spans="1:16">
      <c r="A65" s="146"/>
      <c r="C65" s="694" t="s">
        <v>142</v>
      </c>
      <c r="D65" s="694" t="s">
        <v>181</v>
      </c>
      <c r="E65" s="694"/>
      <c r="F65" s="694"/>
      <c r="G65" s="694"/>
      <c r="H65" s="694"/>
      <c r="I65" s="694"/>
      <c r="J65" s="694"/>
      <c r="K65" s="694"/>
      <c r="L65" s="694"/>
      <c r="M65" s="694"/>
    </row>
    <row r="66" spans="1:16">
      <c r="A66" s="146"/>
      <c r="C66" s="694" t="s">
        <v>143</v>
      </c>
      <c r="D66" s="694" t="s">
        <v>182</v>
      </c>
      <c r="E66" s="694"/>
      <c r="F66" s="694"/>
      <c r="G66" s="694"/>
      <c r="H66" s="694"/>
      <c r="I66" s="694"/>
      <c r="J66" s="694"/>
      <c r="K66" s="694"/>
      <c r="L66" s="694"/>
      <c r="M66" s="694"/>
    </row>
    <row r="67" spans="1:16" s="703" customFormat="1">
      <c r="A67" s="146"/>
    </row>
    <row r="68" spans="1:16" ht="12.95" customHeight="1">
      <c r="A68" s="146"/>
      <c r="B68" s="147"/>
      <c r="C68" s="1030" t="s">
        <v>0</v>
      </c>
      <c r="D68" s="1030"/>
      <c r="E68" s="1030"/>
      <c r="F68" s="1030"/>
      <c r="G68" s="1030"/>
      <c r="H68" s="1030"/>
      <c r="I68" s="1030"/>
      <c r="J68" s="1030"/>
      <c r="K68" s="1030"/>
      <c r="L68" s="1030"/>
      <c r="M68" s="1030"/>
      <c r="N68" s="137"/>
      <c r="O68" s="137"/>
      <c r="P68" s="137"/>
    </row>
    <row r="69" spans="1:16">
      <c r="A69" s="146"/>
      <c r="B69" s="146"/>
      <c r="C69" s="146"/>
      <c r="I69" s="146"/>
      <c r="J69" s="146"/>
    </row>
    <row r="70" spans="1:16" ht="25.5">
      <c r="A70" s="146"/>
      <c r="B70" s="537" t="s">
        <v>171</v>
      </c>
      <c r="C70" s="538" t="s">
        <v>103</v>
      </c>
      <c r="D70" s="538" t="s">
        <v>104</v>
      </c>
      <c r="E70" s="538" t="s">
        <v>105</v>
      </c>
      <c r="F70" s="538" t="s">
        <v>106</v>
      </c>
      <c r="G70" s="538" t="s">
        <v>107</v>
      </c>
      <c r="H70" s="537" t="s">
        <v>108</v>
      </c>
      <c r="I70" s="537" t="s">
        <v>109</v>
      </c>
      <c r="J70" s="538" t="s">
        <v>110</v>
      </c>
      <c r="K70" s="538" t="s">
        <v>111</v>
      </c>
      <c r="L70" s="538" t="s">
        <v>112</v>
      </c>
      <c r="M70" s="538" t="s">
        <v>113</v>
      </c>
      <c r="O70" s="539"/>
    </row>
    <row r="71" spans="1:16">
      <c r="A71" s="146"/>
      <c r="B71" s="447">
        <v>1990</v>
      </c>
      <c r="C71" s="690">
        <v>2641755</v>
      </c>
      <c r="D71" s="690">
        <v>5110397</v>
      </c>
      <c r="E71" s="690">
        <v>94500</v>
      </c>
      <c r="F71" s="690">
        <v>8739253</v>
      </c>
      <c r="G71" s="690">
        <v>1258962</v>
      </c>
      <c r="H71" s="704">
        <v>287847</v>
      </c>
      <c r="I71" s="704">
        <v>83853</v>
      </c>
      <c r="J71" s="704">
        <v>650919</v>
      </c>
      <c r="K71" s="704">
        <v>7755602</v>
      </c>
      <c r="L71" s="690">
        <v>14893771</v>
      </c>
      <c r="M71" s="690">
        <v>173341562</v>
      </c>
      <c r="N71" s="330"/>
      <c r="O71" s="330"/>
    </row>
    <row r="72" spans="1:16">
      <c r="A72" s="146"/>
      <c r="B72" s="447">
        <v>1991</v>
      </c>
      <c r="C72" s="690">
        <v>2339520</v>
      </c>
      <c r="D72" s="690">
        <v>5581998</v>
      </c>
      <c r="E72" s="690">
        <v>83300</v>
      </c>
      <c r="F72" s="690">
        <v>8397070</v>
      </c>
      <c r="G72" s="690">
        <v>1260980</v>
      </c>
      <c r="H72" s="704">
        <v>314125</v>
      </c>
      <c r="I72" s="704">
        <v>66255</v>
      </c>
      <c r="J72" s="704">
        <v>711500</v>
      </c>
      <c r="K72" s="704">
        <v>7837300</v>
      </c>
      <c r="L72" s="690">
        <v>15877391</v>
      </c>
      <c r="M72" s="690">
        <v>173060622</v>
      </c>
      <c r="N72" s="330"/>
      <c r="O72" s="330"/>
    </row>
    <row r="73" spans="1:16">
      <c r="A73" s="146"/>
      <c r="B73" s="447">
        <v>1992</v>
      </c>
      <c r="C73" s="690">
        <v>2146398</v>
      </c>
      <c r="D73" s="690">
        <v>5425617</v>
      </c>
      <c r="E73" s="690">
        <v>103200</v>
      </c>
      <c r="F73" s="690">
        <v>8460557</v>
      </c>
      <c r="G73" s="690">
        <v>1355485</v>
      </c>
      <c r="H73" s="704">
        <v>315848</v>
      </c>
      <c r="I73" s="704">
        <v>56946</v>
      </c>
      <c r="J73" s="704">
        <v>691400</v>
      </c>
      <c r="K73" s="704">
        <v>7553000</v>
      </c>
      <c r="L73" s="690">
        <v>16398563</v>
      </c>
      <c r="M73" s="690">
        <v>172683589</v>
      </c>
      <c r="N73" s="330"/>
      <c r="O73" s="330"/>
    </row>
    <row r="74" spans="1:16">
      <c r="A74" s="146"/>
      <c r="B74" s="447">
        <v>1993</v>
      </c>
      <c r="C74" s="690">
        <v>2118981</v>
      </c>
      <c r="D74" s="690">
        <v>5322148</v>
      </c>
      <c r="E74" s="690">
        <v>100900</v>
      </c>
      <c r="F74" s="690">
        <v>8669560</v>
      </c>
      <c r="G74" s="690">
        <v>1408767</v>
      </c>
      <c r="H74" s="704">
        <v>323305</v>
      </c>
      <c r="I74" s="704">
        <v>49383</v>
      </c>
      <c r="J74" s="704">
        <v>702900</v>
      </c>
      <c r="K74" s="704">
        <v>7645200</v>
      </c>
      <c r="L74" s="690">
        <v>16530691</v>
      </c>
      <c r="M74" s="690">
        <v>173261404</v>
      </c>
      <c r="N74" s="330"/>
      <c r="O74" s="330"/>
    </row>
    <row r="75" spans="1:16">
      <c r="A75" s="146"/>
      <c r="B75" s="447">
        <v>1994</v>
      </c>
      <c r="C75" s="690">
        <v>2011919</v>
      </c>
      <c r="D75" s="690">
        <v>5156841</v>
      </c>
      <c r="E75" s="690">
        <v>108300</v>
      </c>
      <c r="F75" s="690">
        <v>9964108</v>
      </c>
      <c r="G75" s="690">
        <v>1658051</v>
      </c>
      <c r="H75" s="704">
        <v>323986</v>
      </c>
      <c r="I75" s="704">
        <v>43063</v>
      </c>
      <c r="J75" s="704">
        <v>677100</v>
      </c>
      <c r="K75" s="704">
        <v>7346300</v>
      </c>
      <c r="L75" s="690">
        <v>16905054</v>
      </c>
      <c r="M75" s="690">
        <v>178659192</v>
      </c>
      <c r="N75" s="330"/>
      <c r="O75" s="330"/>
    </row>
    <row r="76" spans="1:16">
      <c r="A76" s="146"/>
      <c r="B76" s="447">
        <v>1995</v>
      </c>
      <c r="C76" s="690">
        <v>2079783</v>
      </c>
      <c r="D76" s="690">
        <v>5189304</v>
      </c>
      <c r="E76" s="690">
        <v>148404</v>
      </c>
      <c r="F76" s="690">
        <v>10667971</v>
      </c>
      <c r="G76" s="690">
        <v>1372937</v>
      </c>
      <c r="H76" s="704">
        <v>314778</v>
      </c>
      <c r="I76" s="704">
        <v>37844</v>
      </c>
      <c r="J76" s="704">
        <v>689846</v>
      </c>
      <c r="K76" s="704">
        <v>7370830</v>
      </c>
      <c r="L76" s="690">
        <v>17110587</v>
      </c>
      <c r="M76" s="690">
        <v>184202416</v>
      </c>
      <c r="N76" s="330"/>
      <c r="O76" s="330"/>
    </row>
    <row r="77" spans="1:16">
      <c r="A77" s="146"/>
      <c r="B77" s="447">
        <v>1996</v>
      </c>
      <c r="C77" s="690">
        <v>2080369</v>
      </c>
      <c r="D77" s="690">
        <v>5093563</v>
      </c>
      <c r="E77" s="690">
        <v>171558</v>
      </c>
      <c r="F77" s="690">
        <v>10943457</v>
      </c>
      <c r="G77" s="690">
        <v>1419225</v>
      </c>
      <c r="H77" s="704">
        <v>312080</v>
      </c>
      <c r="I77" s="704">
        <v>34120</v>
      </c>
      <c r="J77" s="704">
        <v>726155</v>
      </c>
      <c r="K77" s="704">
        <v>7444937</v>
      </c>
      <c r="L77" s="690">
        <v>17433566</v>
      </c>
      <c r="M77" s="690">
        <v>183044930</v>
      </c>
      <c r="N77" s="330"/>
      <c r="O77" s="330"/>
    </row>
    <row r="78" spans="1:16">
      <c r="A78" s="146"/>
      <c r="B78" s="447">
        <v>1997</v>
      </c>
      <c r="C78" s="690">
        <v>2078388</v>
      </c>
      <c r="D78" s="690">
        <v>5094846</v>
      </c>
      <c r="E78" s="690">
        <v>161491</v>
      </c>
      <c r="F78" s="690">
        <v>10893711</v>
      </c>
      <c r="G78" s="690">
        <v>1351003</v>
      </c>
      <c r="H78" s="704">
        <v>313000</v>
      </c>
      <c r="I78" s="704">
        <v>30000</v>
      </c>
      <c r="J78" s="704">
        <v>693366</v>
      </c>
      <c r="K78" s="704">
        <v>7599426</v>
      </c>
      <c r="L78" s="690">
        <v>17609737</v>
      </c>
      <c r="M78" s="690">
        <v>186815499</v>
      </c>
      <c r="N78" s="330"/>
      <c r="O78" s="330"/>
    </row>
    <row r="79" spans="1:16">
      <c r="A79" s="146"/>
      <c r="B79" s="447">
        <v>1998</v>
      </c>
      <c r="C79" s="690">
        <v>2116176</v>
      </c>
      <c r="D79" s="690">
        <v>5013332</v>
      </c>
      <c r="E79" s="690">
        <v>186276</v>
      </c>
      <c r="F79" s="690">
        <v>10894264</v>
      </c>
      <c r="G79" s="690">
        <v>1331077</v>
      </c>
      <c r="H79" s="704">
        <v>290000</v>
      </c>
      <c r="I79" s="704">
        <v>33500</v>
      </c>
      <c r="J79" s="704">
        <v>707644</v>
      </c>
      <c r="K79" s="704">
        <v>7614981</v>
      </c>
      <c r="L79" s="690">
        <v>17705163</v>
      </c>
      <c r="M79" s="690">
        <v>198799819</v>
      </c>
      <c r="N79" s="330"/>
      <c r="O79" s="330"/>
    </row>
    <row r="80" spans="1:16">
      <c r="A80" s="146"/>
      <c r="B80" s="447">
        <v>1999</v>
      </c>
      <c r="C80" s="690">
        <v>2125571</v>
      </c>
      <c r="D80" s="690">
        <v>5036190</v>
      </c>
      <c r="E80" s="690">
        <v>200481</v>
      </c>
      <c r="F80" s="690">
        <v>11016784</v>
      </c>
      <c r="G80" s="690">
        <v>1397329</v>
      </c>
      <c r="H80" s="704">
        <v>288000</v>
      </c>
      <c r="I80" s="704">
        <v>33000</v>
      </c>
      <c r="J80" s="704">
        <v>691590</v>
      </c>
      <c r="K80" s="704">
        <v>7722893</v>
      </c>
      <c r="L80" s="690">
        <v>18020802</v>
      </c>
      <c r="M80" s="690">
        <v>196573062</v>
      </c>
      <c r="N80" s="330"/>
      <c r="O80" s="330"/>
    </row>
    <row r="81" spans="1:15">
      <c r="A81" s="146"/>
      <c r="B81" s="447">
        <v>2000</v>
      </c>
      <c r="C81" s="690">
        <v>2065000</v>
      </c>
      <c r="D81" s="690">
        <v>4988000</v>
      </c>
      <c r="E81" s="690">
        <v>192000</v>
      </c>
      <c r="F81" s="690">
        <v>11089000</v>
      </c>
      <c r="G81" s="690">
        <v>1375000</v>
      </c>
      <c r="H81" s="704">
        <v>280000</v>
      </c>
      <c r="I81" s="704">
        <v>33000</v>
      </c>
      <c r="J81" s="704">
        <v>708000</v>
      </c>
      <c r="K81" s="704">
        <v>7599000</v>
      </c>
      <c r="L81" s="690">
        <v>17873993</v>
      </c>
      <c r="M81" s="690">
        <v>176722211</v>
      </c>
      <c r="N81" s="330"/>
      <c r="O81" s="330"/>
    </row>
    <row r="82" spans="1:15">
      <c r="A82" s="146"/>
      <c r="B82" s="447">
        <v>2001</v>
      </c>
      <c r="C82" s="690">
        <v>2077618</v>
      </c>
      <c r="D82" s="690">
        <v>4661270</v>
      </c>
      <c r="E82" s="690">
        <v>193774</v>
      </c>
      <c r="F82" s="690">
        <v>8311383</v>
      </c>
      <c r="G82" s="690">
        <v>1024769</v>
      </c>
      <c r="H82" s="704">
        <v>285000</v>
      </c>
      <c r="I82" s="704">
        <v>33000</v>
      </c>
      <c r="J82" s="704">
        <v>697491</v>
      </c>
      <c r="K82" s="704">
        <v>8068771</v>
      </c>
      <c r="L82" s="690">
        <v>18343782</v>
      </c>
      <c r="M82" s="690">
        <v>209187654</v>
      </c>
      <c r="N82" s="330"/>
      <c r="O82" s="330"/>
    </row>
    <row r="83" spans="1:15">
      <c r="A83" s="146"/>
      <c r="B83" s="447">
        <v>2002</v>
      </c>
      <c r="C83" s="690">
        <v>1910948</v>
      </c>
      <c r="D83" s="690">
        <v>4599149</v>
      </c>
      <c r="E83" s="690">
        <v>185438</v>
      </c>
      <c r="F83" s="690">
        <v>8138309</v>
      </c>
      <c r="G83" s="690">
        <v>987844</v>
      </c>
      <c r="H83" s="704">
        <v>277819</v>
      </c>
      <c r="I83" s="704">
        <v>28913</v>
      </c>
      <c r="J83" s="704">
        <v>751159</v>
      </c>
      <c r="K83" s="704">
        <v>8415099</v>
      </c>
      <c r="L83" s="690">
        <v>18505272</v>
      </c>
      <c r="M83" s="690">
        <v>205524395</v>
      </c>
      <c r="N83" s="330"/>
      <c r="O83" s="330"/>
    </row>
    <row r="84" spans="1:15">
      <c r="A84" s="146"/>
      <c r="B84" s="447">
        <v>2003</v>
      </c>
      <c r="C84" s="690">
        <v>1913424</v>
      </c>
      <c r="D84" s="690">
        <v>4591279</v>
      </c>
      <c r="E84" s="690">
        <v>222268</v>
      </c>
      <c r="F84" s="690">
        <v>7950981</v>
      </c>
      <c r="G84" s="690">
        <v>960994</v>
      </c>
      <c r="H84" s="704">
        <v>282936</v>
      </c>
      <c r="I84" s="704">
        <v>28507</v>
      </c>
      <c r="J84" s="704">
        <v>736637</v>
      </c>
      <c r="K84" s="704">
        <v>8420087</v>
      </c>
      <c r="L84" s="690">
        <v>18226335</v>
      </c>
      <c r="M84" s="690">
        <v>196511409</v>
      </c>
      <c r="N84" s="330"/>
      <c r="O84" s="330"/>
    </row>
    <row r="85" spans="1:15">
      <c r="A85" s="146"/>
      <c r="B85" s="447">
        <v>2004</v>
      </c>
      <c r="C85" s="690">
        <v>1838330</v>
      </c>
      <c r="D85" s="690">
        <v>4466271</v>
      </c>
      <c r="E85" s="690">
        <v>210195</v>
      </c>
      <c r="F85" s="690">
        <v>8106043</v>
      </c>
      <c r="G85" s="690">
        <v>977984</v>
      </c>
      <c r="H85" s="704">
        <v>277767</v>
      </c>
      <c r="I85" s="704">
        <v>28932</v>
      </c>
      <c r="J85" s="704">
        <v>724891</v>
      </c>
      <c r="K85" s="704">
        <v>8247181</v>
      </c>
      <c r="L85" s="690">
        <v>21199217</v>
      </c>
      <c r="M85" s="690">
        <v>191315963</v>
      </c>
      <c r="N85" s="330"/>
      <c r="O85" s="330"/>
    </row>
    <row r="86" spans="1:15">
      <c r="A86" s="146"/>
      <c r="B86" s="447">
        <v>2005</v>
      </c>
      <c r="C86" s="690">
        <v>1842004</v>
      </c>
      <c r="D86" s="690">
        <v>4409921</v>
      </c>
      <c r="E86" s="690">
        <v>205093</v>
      </c>
      <c r="F86" s="690">
        <v>7954167</v>
      </c>
      <c r="G86" s="690">
        <v>945895</v>
      </c>
      <c r="H86" s="704">
        <v>278471</v>
      </c>
      <c r="I86" s="704">
        <v>30254</v>
      </c>
      <c r="J86" s="704">
        <v>721843</v>
      </c>
      <c r="K86" s="704">
        <v>8478427</v>
      </c>
      <c r="L86" s="690">
        <v>22153475</v>
      </c>
      <c r="M86" s="690">
        <v>188595022</v>
      </c>
      <c r="N86" s="330"/>
      <c r="O86" s="330"/>
    </row>
    <row r="87" spans="1:15">
      <c r="A87" s="146"/>
      <c r="B87" s="447">
        <v>2006</v>
      </c>
      <c r="C87" s="690">
        <v>1821370</v>
      </c>
      <c r="D87" s="690">
        <v>4295765</v>
      </c>
      <c r="E87" s="690">
        <v>230633</v>
      </c>
      <c r="F87" s="690">
        <v>8227185</v>
      </c>
      <c r="G87" s="690">
        <v>955316</v>
      </c>
      <c r="H87" s="704">
        <v>287123</v>
      </c>
      <c r="I87" s="704">
        <v>31013</v>
      </c>
      <c r="J87" s="704">
        <v>771751</v>
      </c>
      <c r="K87" s="704">
        <v>8509352</v>
      </c>
      <c r="L87" s="690">
        <v>21801133</v>
      </c>
      <c r="M87" s="690">
        <v>177535443</v>
      </c>
      <c r="N87" s="330"/>
      <c r="O87" s="330"/>
    </row>
    <row r="88" spans="1:15">
      <c r="A88" s="146"/>
      <c r="B88" s="447">
        <v>2007</v>
      </c>
      <c r="C88" s="690">
        <v>1838783</v>
      </c>
      <c r="D88" s="690">
        <v>4444051</v>
      </c>
      <c r="E88" s="690">
        <v>293947</v>
      </c>
      <c r="F88" s="690">
        <v>8236668</v>
      </c>
      <c r="G88" s="690">
        <v>920085</v>
      </c>
      <c r="H88" s="704">
        <v>315725</v>
      </c>
      <c r="I88" s="704">
        <v>34557</v>
      </c>
      <c r="J88" s="704">
        <v>753721</v>
      </c>
      <c r="K88" s="704">
        <v>8519214</v>
      </c>
      <c r="L88" s="690">
        <v>22748051</v>
      </c>
      <c r="M88" s="690">
        <v>188871886</v>
      </c>
      <c r="N88" s="330"/>
      <c r="O88" s="330"/>
    </row>
    <row r="89" spans="1:15">
      <c r="A89" s="146"/>
      <c r="B89" s="447">
        <v>2008</v>
      </c>
      <c r="C89" s="590">
        <v>1838783</v>
      </c>
      <c r="D89" s="590">
        <v>4444051</v>
      </c>
      <c r="E89" s="590">
        <v>293947</v>
      </c>
      <c r="F89" s="590">
        <v>8236668</v>
      </c>
      <c r="G89" s="590">
        <v>920085</v>
      </c>
      <c r="H89" s="590">
        <v>315725</v>
      </c>
      <c r="I89" s="590">
        <v>34557</v>
      </c>
      <c r="J89" s="590">
        <v>753721</v>
      </c>
      <c r="K89" s="590">
        <v>8519214</v>
      </c>
      <c r="L89" s="590">
        <v>22748051</v>
      </c>
      <c r="M89" s="357">
        <v>188871886</v>
      </c>
      <c r="N89" s="330" t="s">
        <v>114</v>
      </c>
      <c r="O89" s="330"/>
    </row>
    <row r="90" spans="1:15">
      <c r="A90" s="146"/>
      <c r="B90" s="447">
        <v>2009</v>
      </c>
      <c r="C90" s="590">
        <v>1838783</v>
      </c>
      <c r="D90" s="590">
        <v>4444051</v>
      </c>
      <c r="E90" s="590">
        <v>293947</v>
      </c>
      <c r="F90" s="590">
        <v>8236668</v>
      </c>
      <c r="G90" s="590">
        <v>920085</v>
      </c>
      <c r="H90" s="590">
        <v>315725</v>
      </c>
      <c r="I90" s="590">
        <v>34557</v>
      </c>
      <c r="J90" s="590">
        <v>753721</v>
      </c>
      <c r="K90" s="590">
        <v>8519214</v>
      </c>
      <c r="L90" s="590">
        <v>22748051</v>
      </c>
      <c r="M90" s="357">
        <v>188871886</v>
      </c>
      <c r="N90" s="330" t="s">
        <v>114</v>
      </c>
    </row>
    <row r="91" spans="1:15">
      <c r="A91" s="146"/>
      <c r="B91" s="447">
        <v>2010</v>
      </c>
      <c r="C91" s="590">
        <v>1838783</v>
      </c>
      <c r="D91" s="590">
        <v>4444051</v>
      </c>
      <c r="E91" s="590">
        <v>293947</v>
      </c>
      <c r="F91" s="590">
        <v>8236668</v>
      </c>
      <c r="G91" s="590">
        <v>920085</v>
      </c>
      <c r="H91" s="590">
        <v>315725</v>
      </c>
      <c r="I91" s="590">
        <v>34557</v>
      </c>
      <c r="J91" s="590">
        <v>753721</v>
      </c>
      <c r="K91" s="590">
        <v>8519214</v>
      </c>
      <c r="L91" s="590">
        <v>22748051</v>
      </c>
      <c r="M91" s="357">
        <v>188871886</v>
      </c>
      <c r="N91" s="330" t="s">
        <v>114</v>
      </c>
    </row>
    <row r="92" spans="1:15">
      <c r="A92" s="146"/>
      <c r="E92" s="702"/>
      <c r="F92" s="702"/>
      <c r="G92" s="702"/>
      <c r="H92" s="702"/>
      <c r="I92" s="702"/>
      <c r="J92" s="702"/>
      <c r="K92" s="702"/>
      <c r="L92" s="702"/>
      <c r="M92" s="702"/>
    </row>
    <row r="93" spans="1:15">
      <c r="A93" s="146"/>
      <c r="C93" s="696" t="s">
        <v>114</v>
      </c>
      <c r="D93" s="694" t="s">
        <v>181</v>
      </c>
      <c r="E93" s="694"/>
      <c r="F93" s="694"/>
      <c r="G93" s="694"/>
      <c r="H93" s="694"/>
      <c r="I93" s="694"/>
      <c r="J93" s="694"/>
      <c r="K93" s="694"/>
      <c r="L93" s="694"/>
      <c r="M93" s="694"/>
    </row>
    <row r="94" spans="1:15">
      <c r="A94" s="146"/>
    </row>
    <row r="95" spans="1:15">
      <c r="A95" s="146"/>
    </row>
    <row r="96" spans="1:15">
      <c r="A96" s="146"/>
    </row>
    <row r="97" spans="1:1">
      <c r="A97" s="146"/>
    </row>
    <row r="98" spans="1:1">
      <c r="A98" s="146"/>
    </row>
    <row r="99" spans="1:1">
      <c r="A99" s="146"/>
    </row>
    <row r="100" spans="1:1">
      <c r="A100" s="146"/>
    </row>
  </sheetData>
  <mergeCells count="8">
    <mergeCell ref="B12:E12"/>
    <mergeCell ref="C38:L38"/>
    <mergeCell ref="C40:M40"/>
    <mergeCell ref="C68:M68"/>
    <mergeCell ref="F1:I1"/>
    <mergeCell ref="C3:I3"/>
    <mergeCell ref="B10:E10"/>
    <mergeCell ref="B11:E11"/>
  </mergeCells>
  <phoneticPr fontId="37" type="noConversion"/>
  <pageMargins left="0.75" right="0.75" top="1" bottom="1" header="0.51180555555555551" footer="0.51180555555555551"/>
  <pageSetup paperSize="9" scale="73" firstPageNumber="0" orientation="landscape" horizontalDpi="300" verticalDpi="300"/>
  <headerFooter alignWithMargins="0"/>
  <rowBreaks count="1" manualBreakCount="1">
    <brk id="67" max="16383" man="1"/>
  </rowBreaks>
</worksheet>
</file>

<file path=xl/worksheets/sheet24.xml><?xml version="1.0" encoding="utf-8"?>
<worksheet xmlns="http://schemas.openxmlformats.org/spreadsheetml/2006/main" xmlns:r="http://schemas.openxmlformats.org/officeDocument/2006/relationships">
  <sheetPr>
    <pageSetUpPr fitToPage="1"/>
  </sheetPr>
  <dimension ref="A1:N142"/>
  <sheetViews>
    <sheetView workbookViewId="0">
      <pane xSplit="1" ySplit="3" topLeftCell="B4" activePane="bottomRight" state="frozen"/>
      <selection pane="topRight" activeCell="B1" sqref="B1"/>
      <selection pane="bottomLeft" activeCell="A4" sqref="A4"/>
      <selection pane="bottomRight" activeCell="B18" sqref="B18"/>
    </sheetView>
  </sheetViews>
  <sheetFormatPr defaultRowHeight="12.75"/>
  <cols>
    <col min="1" max="1" width="39.6640625" customWidth="1"/>
    <col min="2" max="2" width="42" customWidth="1"/>
    <col min="3" max="3" width="44.33203125" customWidth="1"/>
    <col min="4" max="4" width="28" customWidth="1"/>
    <col min="5" max="5" width="42" customWidth="1"/>
    <col min="6" max="6" width="39.6640625" customWidth="1"/>
    <col min="7" max="7" width="58.33203125" customWidth="1"/>
    <col min="8" max="8" width="32.6640625" customWidth="1"/>
    <col min="9" max="10" width="25.6640625" customWidth="1"/>
    <col min="11" max="11" width="56" customWidth="1"/>
    <col min="12" max="12" width="25.6640625" customWidth="1"/>
    <col min="13" max="13" width="39.6640625" customWidth="1"/>
    <col min="14" max="14" width="23.33203125" customWidth="1"/>
  </cols>
  <sheetData>
    <row r="1" spans="1:14">
      <c r="A1" t="s">
        <v>1</v>
      </c>
    </row>
    <row r="2" spans="1:14">
      <c r="B2" t="s">
        <v>2</v>
      </c>
    </row>
    <row r="3" spans="1:14">
      <c r="A3" t="s">
        <v>141</v>
      </c>
      <c r="B3" t="str">
        <f>Ogolne!D6</f>
        <v>Polska</v>
      </c>
      <c r="C3" t="s">
        <v>3</v>
      </c>
      <c r="D3" t="s">
        <v>4</v>
      </c>
      <c r="E3" t="s">
        <v>5</v>
      </c>
      <c r="F3" t="s">
        <v>6</v>
      </c>
      <c r="G3" t="s">
        <v>7</v>
      </c>
      <c r="H3" t="s">
        <v>8</v>
      </c>
      <c r="I3" t="s">
        <v>9</v>
      </c>
      <c r="J3" t="s">
        <v>10</v>
      </c>
      <c r="K3" t="s">
        <v>11</v>
      </c>
      <c r="L3" t="s">
        <v>12</v>
      </c>
      <c r="M3" t="s">
        <v>13</v>
      </c>
      <c r="N3" t="s">
        <v>14</v>
      </c>
    </row>
    <row r="4" spans="1:14">
      <c r="A4">
        <v>1990</v>
      </c>
      <c r="B4">
        <v>9.4200000000000013E-3</v>
      </c>
      <c r="C4">
        <v>2.6399999999999997E-4</v>
      </c>
      <c r="D4">
        <v>2.8600000000000001E-4</v>
      </c>
      <c r="E4">
        <v>4.2000000000000006E-3</v>
      </c>
      <c r="F4">
        <v>2.9100000000000003E-3</v>
      </c>
      <c r="G4">
        <v>4.4600000000000004E-3</v>
      </c>
      <c r="H4">
        <v>6.7700000000000008E-3</v>
      </c>
      <c r="I4">
        <v>1.8400000000000001E-3</v>
      </c>
      <c r="J4">
        <v>1.7000000000000001E-3</v>
      </c>
      <c r="K4">
        <v>5.7200000000000003E-3</v>
      </c>
      <c r="L4">
        <v>1.54E-4</v>
      </c>
      <c r="M4">
        <v>9.9000000000000008E-3</v>
      </c>
      <c r="N4">
        <v>1.8400000000000001E-3</v>
      </c>
    </row>
    <row r="5" spans="1:14">
      <c r="A5">
        <v>1991</v>
      </c>
      <c r="B5" s="705">
        <v>3.0599999999999998E-5</v>
      </c>
      <c r="C5" s="705">
        <v>7.5300000000000001E-5</v>
      </c>
      <c r="D5" s="705">
        <v>6.5500000000000008E-7</v>
      </c>
      <c r="E5" s="705">
        <v>1.3899999999999999E-5</v>
      </c>
      <c r="F5" s="705">
        <v>7.1999999999999997E-6</v>
      </c>
      <c r="G5" s="705">
        <v>1.4999999999999999E-5</v>
      </c>
      <c r="H5" s="705">
        <v>2.23E-5</v>
      </c>
      <c r="I5">
        <v>1.8400000000000001E-3</v>
      </c>
      <c r="J5">
        <v>1.06E-4</v>
      </c>
      <c r="K5" s="705">
        <v>1.8199999999999999E-5</v>
      </c>
      <c r="L5" s="705">
        <v>1.7899999999999998E-5</v>
      </c>
      <c r="M5" s="705">
        <v>6.7299999999999996E-5</v>
      </c>
      <c r="N5">
        <v>1.8400000000000001E-3</v>
      </c>
    </row>
    <row r="6" spans="1:14">
      <c r="A6">
        <v>1992</v>
      </c>
      <c r="B6">
        <v>9.4500000000000001E-3</v>
      </c>
      <c r="C6">
        <v>4.4000000000000002E-4</v>
      </c>
      <c r="D6">
        <v>1.7799999999999999E-4</v>
      </c>
      <c r="E6">
        <v>4.8800000000000007E-3</v>
      </c>
      <c r="F6">
        <v>2.48E-3</v>
      </c>
      <c r="G6">
        <v>7.6300000000000005E-3</v>
      </c>
      <c r="H6">
        <v>7.2100000000000003E-3</v>
      </c>
      <c r="I6">
        <v>1.8400000000000001E-3</v>
      </c>
      <c r="J6">
        <v>1.5E-3</v>
      </c>
      <c r="K6">
        <v>5.5600000000000007E-3</v>
      </c>
      <c r="L6">
        <v>1.0899999999999999E-4</v>
      </c>
      <c r="M6">
        <v>1.0500000000000001E-2</v>
      </c>
      <c r="N6">
        <v>1.8400000000000001E-3</v>
      </c>
    </row>
    <row r="7" spans="1:14">
      <c r="A7">
        <v>1993</v>
      </c>
      <c r="B7">
        <v>8.660000000000001E-3</v>
      </c>
      <c r="C7">
        <v>6.4499999999999996E-4</v>
      </c>
      <c r="D7">
        <v>1.6000000000000001E-4</v>
      </c>
      <c r="E7">
        <v>3.9399999999999999E-3</v>
      </c>
      <c r="F7">
        <v>2.4400000000000003E-3</v>
      </c>
      <c r="G7">
        <v>5.7300000000000007E-3</v>
      </c>
      <c r="H7">
        <v>6.9200000000000008E-3</v>
      </c>
      <c r="I7">
        <v>2.0300000000000001E-3</v>
      </c>
      <c r="J7">
        <v>9.2199999999999997E-4</v>
      </c>
      <c r="K7">
        <v>5.0400000000000002E-3</v>
      </c>
      <c r="L7" s="705">
        <v>3.8500000000000001E-5</v>
      </c>
      <c r="M7">
        <v>9.8800000000000016E-3</v>
      </c>
      <c r="N7">
        <v>2.0300000000000001E-3</v>
      </c>
    </row>
    <row r="8" spans="1:14">
      <c r="A8">
        <v>1994</v>
      </c>
      <c r="B8">
        <v>8.5599999999999999E-3</v>
      </c>
      <c r="C8">
        <v>7.6599999999999997E-4</v>
      </c>
      <c r="D8">
        <v>1.3099999999999999E-4</v>
      </c>
      <c r="E8">
        <v>3.6400000000000004E-3</v>
      </c>
      <c r="F8">
        <v>1.1200000000000001E-3</v>
      </c>
      <c r="G8">
        <v>7.1100000000000009E-3</v>
      </c>
      <c r="H8">
        <v>5.9200000000000008E-3</v>
      </c>
      <c r="I8">
        <v>1.6100000000000001E-3</v>
      </c>
      <c r="J8">
        <v>7.4399999999999998E-4</v>
      </c>
      <c r="K8">
        <v>4.5500000000000002E-3</v>
      </c>
      <c r="L8" s="705">
        <v>2.2899999999999998E-5</v>
      </c>
      <c r="M8">
        <v>1.0400000000000001E-2</v>
      </c>
      <c r="N8">
        <v>1.6100000000000001E-3</v>
      </c>
    </row>
    <row r="9" spans="1:14">
      <c r="A9">
        <v>1995</v>
      </c>
      <c r="B9">
        <v>8.4800000000000014E-3</v>
      </c>
      <c r="C9">
        <v>5.8500000000000002E-4</v>
      </c>
      <c r="D9">
        <v>1.3099999999999999E-4</v>
      </c>
      <c r="E9">
        <v>1.4900000000000002E-3</v>
      </c>
      <c r="F9">
        <v>2.05E-4</v>
      </c>
      <c r="G9">
        <v>2.2100000000000002E-2</v>
      </c>
      <c r="H9">
        <v>4.47E-3</v>
      </c>
      <c r="I9">
        <v>8.1400000000000014E-3</v>
      </c>
      <c r="J9">
        <v>8.0800000000000002E-4</v>
      </c>
      <c r="K9">
        <v>2.1300000000000004E-3</v>
      </c>
      <c r="L9" s="705">
        <v>2.8099999999999999E-5</v>
      </c>
      <c r="M9">
        <v>1.0100000000000001E-2</v>
      </c>
      <c r="N9">
        <v>8.1400000000000014E-3</v>
      </c>
    </row>
    <row r="10" spans="1:14">
      <c r="A10">
        <v>1996</v>
      </c>
      <c r="B10">
        <v>8.26E-3</v>
      </c>
      <c r="C10">
        <v>2.43E-4</v>
      </c>
      <c r="D10">
        <v>1.7099999999999998E-4</v>
      </c>
      <c r="E10">
        <v>1.5900000000000001E-3</v>
      </c>
      <c r="F10">
        <v>3.4199999999999996E-4</v>
      </c>
      <c r="G10">
        <v>1.03E-2</v>
      </c>
      <c r="H10">
        <v>4.9400000000000008E-3</v>
      </c>
      <c r="I10">
        <v>3.5500000000000002E-3</v>
      </c>
      <c r="J10">
        <v>9.2299999999999999E-4</v>
      </c>
      <c r="K10">
        <v>1.9300000000000001E-3</v>
      </c>
      <c r="L10" s="705">
        <v>2.4199999999999999E-5</v>
      </c>
      <c r="M10">
        <v>1.0100000000000001E-2</v>
      </c>
      <c r="N10">
        <v>3.5500000000000002E-3</v>
      </c>
    </row>
    <row r="11" spans="1:14">
      <c r="A11">
        <v>1997</v>
      </c>
      <c r="B11">
        <v>8.1800000000000015E-3</v>
      </c>
      <c r="C11">
        <v>2.8600000000000001E-4</v>
      </c>
      <c r="D11" s="705">
        <v>6.86E-5</v>
      </c>
      <c r="E11">
        <v>1.5900000000000001E-3</v>
      </c>
      <c r="F11">
        <v>2.05E-4</v>
      </c>
      <c r="G11">
        <v>1.61E-2</v>
      </c>
      <c r="H11">
        <v>4.5600000000000007E-3</v>
      </c>
      <c r="I11">
        <v>1.14E-2</v>
      </c>
      <c r="J11">
        <v>1.2200000000000002E-3</v>
      </c>
      <c r="K11">
        <v>1.67E-3</v>
      </c>
      <c r="L11" s="705">
        <v>2.7099999999999998E-5</v>
      </c>
      <c r="M11">
        <v>9.2300000000000004E-3</v>
      </c>
      <c r="N11">
        <v>1.14E-2</v>
      </c>
    </row>
    <row r="12" spans="1:14">
      <c r="A12">
        <v>1998</v>
      </c>
      <c r="B12">
        <v>7.980000000000001E-3</v>
      </c>
      <c r="C12">
        <v>3.5599999999999998E-4</v>
      </c>
      <c r="D12">
        <v>2.9599999999999998E-4</v>
      </c>
      <c r="E12">
        <v>1.7200000000000002E-3</v>
      </c>
      <c r="F12">
        <v>1.2799999999999999E-4</v>
      </c>
      <c r="G12">
        <v>1.89E-2</v>
      </c>
      <c r="H12">
        <v>3.4500000000000004E-3</v>
      </c>
      <c r="I12">
        <v>5.1500000000000001E-3</v>
      </c>
      <c r="J12">
        <v>1.7000000000000001E-3</v>
      </c>
      <c r="K12">
        <v>1.7400000000000002E-3</v>
      </c>
      <c r="L12" s="705">
        <v>7.8899999999999993E-5</v>
      </c>
      <c r="M12">
        <v>9.6200000000000001E-3</v>
      </c>
      <c r="N12">
        <v>5.1500000000000001E-3</v>
      </c>
    </row>
    <row r="13" spans="1:14">
      <c r="A13">
        <v>1999</v>
      </c>
      <c r="B13">
        <v>7.8700000000000003E-3</v>
      </c>
      <c r="C13" s="705">
        <v>8.209999999999999E-5</v>
      </c>
      <c r="D13" s="705">
        <v>1.6499999999999998E-5</v>
      </c>
      <c r="E13">
        <v>1.5200000000000001E-3</v>
      </c>
      <c r="F13" s="705">
        <v>3.82E-5</v>
      </c>
      <c r="G13">
        <v>7.8200000000000006E-3</v>
      </c>
      <c r="H13">
        <v>2.5900000000000003E-3</v>
      </c>
      <c r="I13">
        <v>3.4100000000000003E-3</v>
      </c>
      <c r="J13">
        <v>1.5700000000000002E-3</v>
      </c>
      <c r="K13">
        <v>1.8000000000000001E-4</v>
      </c>
      <c r="L13" s="705">
        <v>1.56E-5</v>
      </c>
      <c r="M13">
        <v>9.0900000000000009E-3</v>
      </c>
      <c r="N13">
        <v>3.4100000000000003E-3</v>
      </c>
    </row>
    <row r="14" spans="1:14">
      <c r="A14">
        <v>2000</v>
      </c>
      <c r="B14">
        <v>5.2600000000000008E-3</v>
      </c>
      <c r="C14">
        <v>2.0000000000000001E-4</v>
      </c>
      <c r="D14" s="705">
        <v>1.1199999999999999E-5</v>
      </c>
      <c r="E14">
        <v>9.8799999999999995E-4</v>
      </c>
      <c r="F14">
        <v>4.0500000000000006E-3</v>
      </c>
      <c r="G14">
        <v>1.25E-3</v>
      </c>
      <c r="H14">
        <v>1.8500000000000001E-3</v>
      </c>
      <c r="I14">
        <v>1.5200000000000001E-3</v>
      </c>
      <c r="J14">
        <v>1.41E-3</v>
      </c>
      <c r="K14">
        <v>1.0300000000000001E-3</v>
      </c>
      <c r="L14" s="705">
        <v>4.2499999999999996E-5</v>
      </c>
      <c r="M14">
        <v>5.8500000000000002E-3</v>
      </c>
      <c r="N14">
        <v>1.5200000000000001E-3</v>
      </c>
    </row>
    <row r="15" spans="1:14">
      <c r="D15" s="705"/>
    </row>
    <row r="16" spans="1:14">
      <c r="C16" s="705"/>
      <c r="D16" s="705"/>
    </row>
    <row r="17" spans="3:4">
      <c r="D17" s="705"/>
    </row>
    <row r="19" spans="3:4">
      <c r="D19" s="705"/>
    </row>
    <row r="21" spans="3:4">
      <c r="D21" s="705"/>
    </row>
    <row r="22" spans="3:4">
      <c r="D22" s="705"/>
    </row>
    <row r="23" spans="3:4">
      <c r="C23" s="705"/>
      <c r="D23" s="705"/>
    </row>
    <row r="24" spans="3:4">
      <c r="D24" s="705"/>
    </row>
    <row r="27" spans="3:4">
      <c r="C27" s="705"/>
      <c r="D27" s="705"/>
    </row>
    <row r="28" spans="3:4">
      <c r="D28" s="705"/>
    </row>
    <row r="32" spans="3:4">
      <c r="D32" s="705"/>
    </row>
    <row r="33" spans="3:4">
      <c r="D33" s="705"/>
    </row>
    <row r="34" spans="3:4">
      <c r="D34" s="705"/>
    </row>
    <row r="35" spans="3:4">
      <c r="C35" s="705"/>
      <c r="D35" s="705"/>
    </row>
    <row r="36" spans="3:4">
      <c r="D36" s="705"/>
    </row>
    <row r="37" spans="3:4">
      <c r="C37" s="705"/>
    </row>
    <row r="38" spans="3:4">
      <c r="C38" s="705"/>
    </row>
    <row r="39" spans="3:4">
      <c r="D39" s="705"/>
    </row>
    <row r="42" spans="3:4">
      <c r="D42" s="705"/>
    </row>
    <row r="43" spans="3:4">
      <c r="D43" s="705"/>
    </row>
    <row r="44" spans="3:4">
      <c r="D44" s="705"/>
    </row>
    <row r="45" spans="3:4">
      <c r="C45" s="705"/>
      <c r="D45" s="705"/>
    </row>
    <row r="46" spans="3:4">
      <c r="D46" s="705"/>
    </row>
    <row r="48" spans="3:4">
      <c r="D48" s="705"/>
    </row>
    <row r="49" spans="3:4">
      <c r="D49" s="705"/>
    </row>
    <row r="50" spans="3:4">
      <c r="D50" s="705"/>
    </row>
    <row r="51" spans="3:4">
      <c r="D51" s="705"/>
    </row>
    <row r="54" spans="3:4">
      <c r="D54" s="705"/>
    </row>
    <row r="57" spans="3:4">
      <c r="D57" s="705"/>
    </row>
    <row r="58" spans="3:4">
      <c r="C58" s="705"/>
    </row>
    <row r="60" spans="3:4">
      <c r="C60" s="705"/>
      <c r="D60" s="705"/>
    </row>
    <row r="62" spans="3:4">
      <c r="D62" s="705"/>
    </row>
    <row r="63" spans="3:4">
      <c r="D63" s="705"/>
    </row>
    <row r="65" spans="4:4">
      <c r="D65" s="705"/>
    </row>
    <row r="67" spans="4:4">
      <c r="D67" s="705"/>
    </row>
    <row r="69" spans="4:4">
      <c r="D69" s="705"/>
    </row>
    <row r="72" spans="4:4">
      <c r="D72" s="705"/>
    </row>
    <row r="74" spans="4:4">
      <c r="D74" s="705"/>
    </row>
    <row r="75" spans="4:4">
      <c r="D75" s="705"/>
    </row>
    <row r="78" spans="4:4">
      <c r="D78" s="705"/>
    </row>
    <row r="80" spans="4:4">
      <c r="D80" s="705"/>
    </row>
    <row r="81" spans="3:4">
      <c r="D81" s="705"/>
    </row>
    <row r="82" spans="3:4">
      <c r="C82" s="705"/>
      <c r="D82" s="705"/>
    </row>
    <row r="85" spans="3:4">
      <c r="C85" s="705"/>
    </row>
    <row r="86" spans="3:4">
      <c r="D86" s="705"/>
    </row>
    <row r="87" spans="3:4">
      <c r="D87" s="705"/>
    </row>
    <row r="90" spans="3:4">
      <c r="C90" s="705"/>
      <c r="D90" s="705"/>
    </row>
    <row r="91" spans="3:4">
      <c r="D91" s="705"/>
    </row>
    <row r="92" spans="3:4">
      <c r="C92" s="705"/>
      <c r="D92" s="705"/>
    </row>
    <row r="95" spans="3:4">
      <c r="D95" s="705"/>
    </row>
    <row r="96" spans="3:4">
      <c r="D96" s="705"/>
    </row>
    <row r="98" spans="3:4">
      <c r="D98" s="705"/>
    </row>
    <row r="99" spans="3:4">
      <c r="D99" s="705"/>
    </row>
    <row r="102" spans="3:4">
      <c r="C102" s="705"/>
    </row>
    <row r="103" spans="3:4">
      <c r="D103" s="705"/>
    </row>
    <row r="105" spans="3:4">
      <c r="D105" s="705"/>
    </row>
    <row r="106" spans="3:4">
      <c r="C106" s="705"/>
    </row>
    <row r="110" spans="3:4">
      <c r="D110" s="705"/>
    </row>
    <row r="111" spans="3:4">
      <c r="D111" s="705"/>
    </row>
    <row r="112" spans="3:4">
      <c r="D112" s="705"/>
    </row>
    <row r="114" spans="3:4">
      <c r="C114" s="705"/>
    </row>
    <row r="116" spans="3:4">
      <c r="D116" s="705"/>
    </row>
    <row r="117" spans="3:4">
      <c r="C117" s="705"/>
      <c r="D117" s="705"/>
    </row>
    <row r="118" spans="3:4">
      <c r="D118" s="705"/>
    </row>
    <row r="120" spans="3:4">
      <c r="D120" s="705"/>
    </row>
    <row r="122" spans="3:4">
      <c r="C122" s="705"/>
      <c r="D122" s="705"/>
    </row>
    <row r="123" spans="3:4">
      <c r="C123" s="705"/>
      <c r="D123" s="705"/>
    </row>
    <row r="124" spans="3:4">
      <c r="C124" s="705"/>
    </row>
    <row r="127" spans="3:4">
      <c r="D127" s="705"/>
    </row>
    <row r="128" spans="3:4">
      <c r="C128" s="705"/>
      <c r="D128" s="705"/>
    </row>
    <row r="129" spans="4:4">
      <c r="D129" s="705"/>
    </row>
    <row r="131" spans="4:4">
      <c r="D131" s="705"/>
    </row>
    <row r="138" spans="4:4">
      <c r="D138" s="705"/>
    </row>
    <row r="139" spans="4:4">
      <c r="D139" s="705"/>
    </row>
    <row r="140" spans="4:4">
      <c r="D140" s="705"/>
    </row>
    <row r="142" spans="4:4">
      <c r="D142" s="705"/>
    </row>
  </sheetData>
  <phoneticPr fontId="37" type="noConversion"/>
  <pageMargins left="0.74791666666666667" right="0.74791666666666667" top="0.98402777777777772" bottom="0.98402777777777772" header="0.51180555555555551" footer="0.51180555555555551"/>
  <pageSetup firstPageNumber="0" orientation="landscape" horizontalDpi="300" verticalDpi="300"/>
  <headerFooter alignWithMargins="0"/>
</worksheet>
</file>

<file path=xl/worksheets/sheet25.xml><?xml version="1.0" encoding="utf-8"?>
<worksheet xmlns="http://schemas.openxmlformats.org/spreadsheetml/2006/main" xmlns:r="http://schemas.openxmlformats.org/officeDocument/2006/relationships">
  <sheetPr>
    <pageSetUpPr fitToPage="1"/>
  </sheetPr>
  <dimension ref="A1:N142"/>
  <sheetViews>
    <sheetView workbookViewId="0">
      <pane xSplit="1" ySplit="3" topLeftCell="B4" activePane="bottomRight" state="frozen"/>
      <selection pane="topRight" activeCell="B1" sqref="B1"/>
      <selection pane="bottomLeft" activeCell="A4" sqref="A4"/>
      <selection pane="bottomRight" activeCell="M14" sqref="M14"/>
    </sheetView>
  </sheetViews>
  <sheetFormatPr defaultRowHeight="12.75"/>
  <cols>
    <col min="1" max="1" width="39.6640625" customWidth="1"/>
    <col min="2" max="2" width="42" customWidth="1"/>
    <col min="3" max="3" width="44.33203125" customWidth="1"/>
    <col min="4" max="4" width="28" customWidth="1"/>
    <col min="5" max="5" width="42" customWidth="1"/>
    <col min="6" max="6" width="39.6640625" customWidth="1"/>
    <col min="7" max="7" width="58.33203125" customWidth="1"/>
    <col min="8" max="8" width="32.6640625" customWidth="1"/>
    <col min="9" max="9" width="25.6640625" customWidth="1"/>
    <col min="10" max="10" width="23.33203125" customWidth="1"/>
    <col min="11" max="11" width="56" customWidth="1"/>
    <col min="12" max="12" width="23.33203125" customWidth="1"/>
    <col min="13" max="13" width="39.6640625" customWidth="1"/>
    <col min="14" max="14" width="25.6640625" customWidth="1"/>
  </cols>
  <sheetData>
    <row r="1" spans="1:14">
      <c r="A1" t="s">
        <v>1</v>
      </c>
    </row>
    <row r="2" spans="1:14">
      <c r="B2" t="s">
        <v>15</v>
      </c>
    </row>
    <row r="3" spans="1:14">
      <c r="A3" t="s">
        <v>141</v>
      </c>
      <c r="B3" t="s">
        <v>10</v>
      </c>
      <c r="C3" t="s">
        <v>3</v>
      </c>
      <c r="D3" t="s">
        <v>4</v>
      </c>
      <c r="E3" t="s">
        <v>5</v>
      </c>
      <c r="F3" t="s">
        <v>6</v>
      </c>
      <c r="G3" t="s">
        <v>7</v>
      </c>
      <c r="H3" t="s">
        <v>8</v>
      </c>
      <c r="I3" t="s">
        <v>9</v>
      </c>
      <c r="J3" t="s">
        <v>10</v>
      </c>
      <c r="K3" t="s">
        <v>11</v>
      </c>
      <c r="L3" t="s">
        <v>12</v>
      </c>
      <c r="M3" t="s">
        <v>13</v>
      </c>
      <c r="N3" t="s">
        <v>14</v>
      </c>
    </row>
    <row r="4" spans="1:14">
      <c r="A4">
        <v>1990</v>
      </c>
      <c r="B4">
        <v>1.9000000000000001E-4</v>
      </c>
      <c r="C4" s="705">
        <v>3.9899999999999999E-6</v>
      </c>
      <c r="D4" s="705">
        <v>5.3900000000000001E-6</v>
      </c>
      <c r="E4" s="705">
        <v>6.86E-5</v>
      </c>
      <c r="F4" s="705">
        <v>4.3099999999999997E-5</v>
      </c>
      <c r="G4" s="705">
        <v>1.6699999999999999E-5</v>
      </c>
      <c r="H4">
        <v>1.2400000000000001E-4</v>
      </c>
      <c r="I4" s="705">
        <v>1.72E-6</v>
      </c>
      <c r="J4" s="705">
        <v>3.3899999999999997E-5</v>
      </c>
      <c r="K4" s="705">
        <v>9.1099999999999992E-5</v>
      </c>
      <c r="L4" s="705">
        <v>2.3700000000000002E-6</v>
      </c>
      <c r="M4">
        <v>2.0099999999999998E-4</v>
      </c>
      <c r="N4" s="705">
        <v>1.72E-6</v>
      </c>
    </row>
    <row r="5" spans="1:14">
      <c r="A5">
        <v>1991</v>
      </c>
      <c r="B5">
        <v>1.9099999999999998E-4</v>
      </c>
      <c r="C5" s="705">
        <v>3.6600000000000001E-6</v>
      </c>
      <c r="D5" s="705">
        <v>3.7500000000000001E-6</v>
      </c>
      <c r="E5" s="705">
        <v>6.9200000000000002E-5</v>
      </c>
      <c r="F5" s="705">
        <v>3.3200000000000001E-5</v>
      </c>
      <c r="G5" s="705">
        <v>1.7499999999999998E-5</v>
      </c>
      <c r="H5">
        <v>1.2799999999999999E-4</v>
      </c>
      <c r="I5" s="705">
        <v>1.72E-6</v>
      </c>
      <c r="J5" s="705">
        <v>2.9199999999999998E-5</v>
      </c>
      <c r="K5" s="705">
        <v>8.9099999999999997E-5</v>
      </c>
      <c r="L5" s="705">
        <v>7.9400000000000004E-7</v>
      </c>
      <c r="M5">
        <v>1.9899999999999999E-4</v>
      </c>
      <c r="N5" s="705">
        <v>1.72E-6</v>
      </c>
    </row>
    <row r="6" spans="1:14">
      <c r="A6">
        <v>1992</v>
      </c>
      <c r="B6">
        <v>1.9000000000000001E-4</v>
      </c>
      <c r="C6" s="705">
        <v>7.79E-6</v>
      </c>
      <c r="D6" s="705">
        <v>3.2799999999999999E-6</v>
      </c>
      <c r="E6" s="705">
        <v>7.9300000000000003E-5</v>
      </c>
      <c r="F6" s="705">
        <v>3.7299999999999999E-5</v>
      </c>
      <c r="G6" s="705">
        <v>3.1099999999999997E-5</v>
      </c>
      <c r="H6">
        <v>1.3199999999999998E-4</v>
      </c>
      <c r="I6" s="705">
        <v>1.72E-6</v>
      </c>
      <c r="J6" s="705">
        <v>2.8499999999999998E-5</v>
      </c>
      <c r="K6" s="705">
        <v>8.9800000000000001E-5</v>
      </c>
      <c r="L6" s="705">
        <v>1.64E-6</v>
      </c>
      <c r="M6">
        <v>2.12E-4</v>
      </c>
      <c r="N6" s="705">
        <v>1.72E-6</v>
      </c>
    </row>
    <row r="7" spans="1:14">
      <c r="A7">
        <v>1993</v>
      </c>
      <c r="B7">
        <v>1.74E-4</v>
      </c>
      <c r="C7" s="705">
        <v>1.1799999999999999E-5</v>
      </c>
      <c r="D7" s="705">
        <v>3.01E-6</v>
      </c>
      <c r="E7" s="705">
        <v>6.4700000000000001E-5</v>
      </c>
      <c r="F7" s="705">
        <v>3.65E-5</v>
      </c>
      <c r="G7" s="705">
        <v>2.3199999999999998E-5</v>
      </c>
      <c r="H7">
        <v>1.2799999999999999E-4</v>
      </c>
      <c r="I7" s="705">
        <v>1.4099999999999999E-5</v>
      </c>
      <c r="J7" s="705">
        <v>1.84E-5</v>
      </c>
      <c r="K7" s="705">
        <v>7.9599999999999997E-5</v>
      </c>
      <c r="L7" s="705">
        <v>4.3400000000000005E-7</v>
      </c>
      <c r="M7">
        <v>2.0000000000000001E-4</v>
      </c>
      <c r="N7" s="705">
        <v>1.4099999999999999E-5</v>
      </c>
    </row>
    <row r="8" spans="1:14">
      <c r="A8">
        <v>1994</v>
      </c>
      <c r="B8">
        <v>1.7199999999999998E-4</v>
      </c>
      <c r="C8" s="705">
        <v>1.4399999999999999E-5</v>
      </c>
      <c r="D8" s="705">
        <v>2.3599999999999999E-6</v>
      </c>
      <c r="E8" s="705">
        <v>6.2799999999999995E-5</v>
      </c>
      <c r="F8" s="705">
        <v>1.7600000000000001E-5</v>
      </c>
      <c r="G8" s="705">
        <v>2.7499999999999998E-5</v>
      </c>
      <c r="H8">
        <v>1.1399999999999999E-4</v>
      </c>
      <c r="I8" s="705">
        <v>2.09E-5</v>
      </c>
      <c r="J8" s="705">
        <v>1.47E-5</v>
      </c>
      <c r="K8" s="705">
        <v>7.4899999999999991E-5</v>
      </c>
      <c r="L8" s="705">
        <v>1.43E-7</v>
      </c>
      <c r="M8">
        <v>2.1000000000000001E-4</v>
      </c>
      <c r="N8" s="705">
        <v>2.09E-5</v>
      </c>
    </row>
    <row r="9" spans="1:14">
      <c r="A9">
        <v>1995</v>
      </c>
      <c r="B9">
        <v>1.73E-4</v>
      </c>
      <c r="C9" s="705">
        <v>1.2E-5</v>
      </c>
      <c r="D9" s="705">
        <v>3.9099999999999998E-6</v>
      </c>
      <c r="E9" s="705">
        <v>6.7399999999999998E-5</v>
      </c>
      <c r="F9" s="705">
        <v>3.1999999999999999E-5</v>
      </c>
      <c r="G9">
        <v>9.7199999999999999E-4</v>
      </c>
      <c r="H9">
        <v>1.11E-4</v>
      </c>
      <c r="I9">
        <v>3.5799999999999997E-4</v>
      </c>
      <c r="J9" s="705">
        <v>1.6499999999999998E-5</v>
      </c>
      <c r="K9">
        <v>1E-4</v>
      </c>
      <c r="L9" s="705">
        <v>8.2700000000000009E-7</v>
      </c>
      <c r="M9">
        <v>2.04E-4</v>
      </c>
      <c r="N9">
        <v>3.5799999999999997E-4</v>
      </c>
    </row>
    <row r="10" spans="1:14">
      <c r="A10">
        <v>1996</v>
      </c>
      <c r="B10">
        <v>1.6899999999999999E-4</v>
      </c>
      <c r="C10" s="705">
        <v>6.4500000000000001E-6</v>
      </c>
      <c r="D10" s="705">
        <v>5.0900000000000004E-6</v>
      </c>
      <c r="E10" s="705">
        <v>6.2500000000000001E-5</v>
      </c>
      <c r="F10" s="705">
        <v>3.6999999999999998E-5</v>
      </c>
      <c r="G10">
        <v>4.4499999999999997E-4</v>
      </c>
      <c r="H10">
        <v>1.13E-4</v>
      </c>
      <c r="I10">
        <v>1.56E-4</v>
      </c>
      <c r="J10" s="705">
        <v>1.8899999999999999E-5</v>
      </c>
      <c r="K10" s="705">
        <v>8.0699999999999996E-5</v>
      </c>
      <c r="L10" s="705">
        <v>8.060000000000001E-7</v>
      </c>
      <c r="M10">
        <v>2.0799999999999999E-4</v>
      </c>
      <c r="N10">
        <v>1.56E-4</v>
      </c>
    </row>
    <row r="11" spans="1:14">
      <c r="A11">
        <v>1997</v>
      </c>
      <c r="B11">
        <v>1.6699999999999999E-4</v>
      </c>
      <c r="C11" s="705">
        <v>6.4699999999999999E-6</v>
      </c>
      <c r="D11" s="705">
        <v>1.9999999999999999E-6</v>
      </c>
      <c r="E11" s="705">
        <v>8.4099999999999998E-5</v>
      </c>
      <c r="F11" s="705">
        <v>2.7099999999999998E-5</v>
      </c>
      <c r="G11">
        <v>7.0100000000000002E-4</v>
      </c>
      <c r="H11">
        <v>1.06E-4</v>
      </c>
      <c r="I11">
        <v>5.04E-4</v>
      </c>
      <c r="J11" s="705">
        <v>2.4899999999999999E-5</v>
      </c>
      <c r="K11" s="705">
        <v>9.2100000000000003E-5</v>
      </c>
      <c r="L11" s="705">
        <v>7.8900000000000009E-7</v>
      </c>
      <c r="M11">
        <v>1.9000000000000001E-4</v>
      </c>
      <c r="N11">
        <v>5.04E-4</v>
      </c>
    </row>
    <row r="12" spans="1:14">
      <c r="A12">
        <v>1998</v>
      </c>
      <c r="B12">
        <v>1.6699999999999999E-4</v>
      </c>
      <c r="C12" s="705">
        <v>6.4699999999999999E-6</v>
      </c>
      <c r="D12" s="705">
        <v>1.9999999999999999E-6</v>
      </c>
      <c r="E12" s="705">
        <v>8.4099999999999998E-5</v>
      </c>
      <c r="F12" s="705">
        <v>2.7099999999999998E-5</v>
      </c>
      <c r="G12">
        <v>7.0100000000000002E-4</v>
      </c>
      <c r="H12">
        <v>1.06E-4</v>
      </c>
      <c r="I12">
        <v>5.04E-4</v>
      </c>
      <c r="J12" s="705">
        <v>2.4899999999999999E-5</v>
      </c>
      <c r="K12" s="705">
        <v>9.2100000000000003E-5</v>
      </c>
      <c r="L12" s="705">
        <v>7.8900000000000009E-7</v>
      </c>
      <c r="M12">
        <v>1.9000000000000001E-4</v>
      </c>
      <c r="N12">
        <v>5.04E-4</v>
      </c>
    </row>
    <row r="13" spans="1:14">
      <c r="A13">
        <v>1999</v>
      </c>
      <c r="B13">
        <v>1.5899999999999999E-4</v>
      </c>
      <c r="C13" s="705">
        <v>6.1700000000000002E-6</v>
      </c>
      <c r="D13" s="705">
        <v>8.850000000000001E-7</v>
      </c>
      <c r="E13" s="705">
        <v>7.7199999999999993E-5</v>
      </c>
      <c r="F13" s="705">
        <v>5.9700000000000004E-6</v>
      </c>
      <c r="G13">
        <v>3.3700000000000001E-4</v>
      </c>
      <c r="H13" s="705">
        <v>7.9699999999999999E-5</v>
      </c>
      <c r="I13">
        <v>1.5000000000000001E-4</v>
      </c>
      <c r="J13" s="705">
        <v>3.4699999999999996E-5</v>
      </c>
      <c r="K13" s="705">
        <v>8.6799999999999996E-5</v>
      </c>
      <c r="L13" s="705">
        <v>2.4200000000000001E-6</v>
      </c>
      <c r="M13">
        <v>1.8799999999999999E-4</v>
      </c>
      <c r="N13">
        <v>1.5000000000000001E-4</v>
      </c>
    </row>
    <row r="14" spans="1:14">
      <c r="A14">
        <v>2000</v>
      </c>
      <c r="B14">
        <v>1.5699999999999999E-4</v>
      </c>
      <c r="C14" s="705">
        <v>6.2500000000000003E-6</v>
      </c>
      <c r="D14" s="705">
        <v>5.9800000000000003E-7</v>
      </c>
      <c r="E14" s="705">
        <v>8.099999999999999E-5</v>
      </c>
      <c r="F14">
        <v>2.5399999999999999E-4</v>
      </c>
      <c r="G14" s="705">
        <v>5.8699999999999997E-5</v>
      </c>
      <c r="H14" s="705">
        <v>5.8699999999999997E-5</v>
      </c>
      <c r="I14" s="705">
        <v>9.8499999999999995E-5</v>
      </c>
      <c r="J14" s="705">
        <v>4.2199999999999996E-5</v>
      </c>
      <c r="K14" s="705">
        <v>9.2199999999999991E-5</v>
      </c>
      <c r="L14" s="705">
        <v>1.68E-6</v>
      </c>
      <c r="M14">
        <v>1.76E-4</v>
      </c>
      <c r="N14" s="705">
        <v>9.8499999999999995E-5</v>
      </c>
    </row>
    <row r="27" spans="4:4">
      <c r="D27" s="705"/>
    </row>
    <row r="28" spans="4:4">
      <c r="D28" s="705"/>
    </row>
    <row r="29" spans="4:4">
      <c r="D29" s="705"/>
    </row>
    <row r="30" spans="4:4">
      <c r="D30" s="705"/>
    </row>
    <row r="31" spans="4:4">
      <c r="D31" s="705"/>
    </row>
    <row r="32" spans="4:4">
      <c r="D32" s="705"/>
    </row>
    <row r="33" spans="3:4">
      <c r="D33" s="705"/>
    </row>
    <row r="34" spans="3:4">
      <c r="D34" s="705"/>
    </row>
    <row r="36" spans="3:4">
      <c r="D36" s="705"/>
    </row>
    <row r="37" spans="3:4">
      <c r="C37" s="705"/>
      <c r="D37" s="705"/>
    </row>
    <row r="38" spans="3:4">
      <c r="C38" s="705"/>
      <c r="D38" s="705"/>
    </row>
    <row r="58" spans="2:4">
      <c r="C58" s="705"/>
    </row>
    <row r="60" spans="2:4">
      <c r="D60" s="705"/>
    </row>
    <row r="61" spans="2:4">
      <c r="D61" s="705"/>
    </row>
    <row r="62" spans="2:4">
      <c r="D62" s="705"/>
    </row>
    <row r="63" spans="2:4">
      <c r="B63" s="705"/>
      <c r="D63" s="705"/>
    </row>
    <row r="64" spans="2:4">
      <c r="D64" s="705"/>
    </row>
    <row r="65" spans="4:4">
      <c r="D65" s="705"/>
    </row>
    <row r="70" spans="4:4">
      <c r="D70" s="705"/>
    </row>
    <row r="71" spans="4:4">
      <c r="D71" s="705"/>
    </row>
    <row r="73" spans="4:4">
      <c r="D73" s="705"/>
    </row>
    <row r="74" spans="4:4">
      <c r="D74" s="705"/>
    </row>
    <row r="75" spans="4:4">
      <c r="D75" s="705"/>
    </row>
    <row r="76" spans="4:4">
      <c r="D76" s="705"/>
    </row>
    <row r="77" spans="4:4">
      <c r="D77" s="705"/>
    </row>
    <row r="78" spans="4:4">
      <c r="D78" s="705"/>
    </row>
    <row r="81" spans="3:4">
      <c r="D81" s="705"/>
    </row>
    <row r="82" spans="3:4">
      <c r="D82" s="705"/>
    </row>
    <row r="83" spans="3:4">
      <c r="D83" s="705"/>
    </row>
    <row r="84" spans="3:4">
      <c r="C84" s="705"/>
      <c r="D84" s="705"/>
    </row>
    <row r="85" spans="3:4">
      <c r="C85" s="705"/>
      <c r="D85" s="705"/>
    </row>
    <row r="86" spans="3:4">
      <c r="D86" s="705"/>
    </row>
    <row r="87" spans="3:4">
      <c r="D87" s="705"/>
    </row>
    <row r="91" spans="3:4">
      <c r="D91" s="705"/>
    </row>
    <row r="92" spans="3:4">
      <c r="D92" s="705"/>
    </row>
    <row r="93" spans="3:4">
      <c r="D93" s="705"/>
    </row>
    <row r="94" spans="3:4">
      <c r="D94" s="705"/>
    </row>
    <row r="95" spans="3:4">
      <c r="D95" s="705"/>
    </row>
    <row r="96" spans="3:4">
      <c r="D96" s="705"/>
    </row>
    <row r="100" spans="3:4">
      <c r="D100" s="705"/>
    </row>
    <row r="101" spans="3:4">
      <c r="D101" s="705"/>
    </row>
    <row r="102" spans="3:4">
      <c r="C102" s="705"/>
      <c r="D102" s="705"/>
    </row>
    <row r="106" spans="3:4">
      <c r="C106" s="705"/>
    </row>
    <row r="107" spans="3:4">
      <c r="D107" s="705"/>
    </row>
    <row r="108" spans="3:4">
      <c r="D108" s="705"/>
    </row>
    <row r="110" spans="3:4">
      <c r="D110" s="705"/>
    </row>
    <row r="111" spans="3:4">
      <c r="D111" s="705"/>
    </row>
    <row r="114" spans="3:4">
      <c r="C114" s="705"/>
    </row>
    <row r="121" spans="3:4">
      <c r="D121" s="705"/>
    </row>
    <row r="122" spans="3:4">
      <c r="D122" s="705"/>
    </row>
    <row r="123" spans="3:4">
      <c r="D123" s="705"/>
    </row>
    <row r="136" spans="4:4">
      <c r="D136" s="705"/>
    </row>
    <row r="137" spans="4:4">
      <c r="D137" s="705"/>
    </row>
    <row r="138" spans="4:4">
      <c r="D138" s="705"/>
    </row>
    <row r="139" spans="4:4">
      <c r="D139" s="705"/>
    </row>
    <row r="140" spans="4:4">
      <c r="D140" s="705"/>
    </row>
    <row r="141" spans="4:4">
      <c r="D141" s="705"/>
    </row>
    <row r="142" spans="4:4">
      <c r="D142" s="705"/>
    </row>
  </sheetData>
  <phoneticPr fontId="37" type="noConversion"/>
  <pageMargins left="0.74791666666666667" right="0.74791666666666667" top="0.98402777777777772" bottom="0.98402777777777772" header="0.51180555555555551" footer="0.51180555555555551"/>
  <pageSetup firstPageNumber="0" orientation="landscape" horizontalDpi="300" verticalDpi="300"/>
  <headerFooter alignWithMargins="0"/>
</worksheet>
</file>

<file path=xl/worksheets/sheet26.xml><?xml version="1.0" encoding="utf-8"?>
<worksheet xmlns="http://schemas.openxmlformats.org/spreadsheetml/2006/main" xmlns:r="http://schemas.openxmlformats.org/officeDocument/2006/relationships">
  <dimension ref="A1:D9"/>
  <sheetViews>
    <sheetView workbookViewId="0">
      <selection activeCell="B9" sqref="B9"/>
    </sheetView>
  </sheetViews>
  <sheetFormatPr defaultRowHeight="12.75"/>
  <cols>
    <col min="2" max="2" width="9.1640625" customWidth="1"/>
    <col min="3" max="3" width="17.33203125" customWidth="1"/>
  </cols>
  <sheetData>
    <row r="1" spans="1:4">
      <c r="A1" t="s">
        <v>16</v>
      </c>
    </row>
    <row r="2" spans="1:4">
      <c r="A2" s="1034" t="s">
        <v>17</v>
      </c>
      <c r="B2" s="1034"/>
      <c r="C2" s="706" t="s">
        <v>18</v>
      </c>
    </row>
    <row r="3" spans="1:4">
      <c r="A3" s="1032" t="s">
        <v>19</v>
      </c>
      <c r="B3" s="1032"/>
      <c r="C3" s="707">
        <v>38</v>
      </c>
    </row>
    <row r="4" spans="1:4">
      <c r="A4" s="1032" t="s">
        <v>20</v>
      </c>
      <c r="B4" s="1032"/>
      <c r="C4" s="707">
        <v>13</v>
      </c>
    </row>
    <row r="5" spans="1:4">
      <c r="A5" s="1032" t="s">
        <v>21</v>
      </c>
      <c r="B5" s="1032"/>
      <c r="C5" s="707">
        <v>10</v>
      </c>
    </row>
    <row r="6" spans="1:4">
      <c r="A6" s="1032" t="s">
        <v>22</v>
      </c>
      <c r="B6" s="1032"/>
      <c r="C6" s="707">
        <v>4</v>
      </c>
    </row>
    <row r="7" spans="1:4">
      <c r="A7" s="1033" t="s">
        <v>23</v>
      </c>
      <c r="B7" s="1033"/>
      <c r="C7" s="708">
        <v>35</v>
      </c>
    </row>
    <row r="9" spans="1:4">
      <c r="A9" t="s">
        <v>24</v>
      </c>
      <c r="D9">
        <v>0.48170000000000002</v>
      </c>
    </row>
  </sheetData>
  <mergeCells count="6">
    <mergeCell ref="A6:B6"/>
    <mergeCell ref="A7:B7"/>
    <mergeCell ref="A2:B2"/>
    <mergeCell ref="A3:B3"/>
    <mergeCell ref="A4:B4"/>
    <mergeCell ref="A5:B5"/>
  </mergeCells>
  <phoneticPr fontId="37" type="noConversion"/>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sheetPr>
    <tabColor rgb="FF92D050"/>
  </sheetPr>
  <dimension ref="A1:BJ140"/>
  <sheetViews>
    <sheetView zoomScale="85" zoomScaleNormal="85" zoomScaleSheetLayoutView="85" workbookViewId="0">
      <pane xSplit="3" ySplit="9" topLeftCell="D10" activePane="bottomRight" state="frozenSplit"/>
      <selection pane="topRight" activeCell="C1" sqref="C1"/>
      <selection pane="bottomLeft" activeCell="A9" sqref="A9"/>
      <selection pane="bottomRight" activeCell="G69" sqref="G69"/>
    </sheetView>
  </sheetViews>
  <sheetFormatPr defaultRowHeight="12.75"/>
  <cols>
    <col min="1" max="1" width="4.1640625" style="3" customWidth="1"/>
    <col min="2" max="2" width="61.33203125" style="3" customWidth="1"/>
    <col min="3" max="3" width="9.83203125" style="3" customWidth="1"/>
    <col min="4" max="4" width="12.83203125" style="47" customWidth="1"/>
    <col min="5" max="5" width="12.33203125" style="47" customWidth="1"/>
    <col min="6" max="6" width="5.83203125" style="789" customWidth="1"/>
    <col min="7" max="7" width="11.1640625" style="47" customWidth="1"/>
    <col min="8" max="8" width="11" style="47" customWidth="1"/>
    <col min="9" max="9" width="10.1640625" style="47" customWidth="1"/>
    <col min="10" max="10" width="6.33203125" style="47" customWidth="1"/>
    <col min="11" max="11" width="10.83203125" style="47" customWidth="1"/>
    <col min="12" max="12" width="8.33203125" style="47" customWidth="1"/>
    <col min="13" max="13" width="9.33203125" style="47" customWidth="1"/>
    <col min="14" max="14" width="10.83203125" style="47" customWidth="1"/>
    <col min="15" max="15" width="10.1640625" style="47" customWidth="1"/>
    <col min="16" max="16" width="8.33203125" style="47" customWidth="1"/>
    <col min="17" max="17" width="11.33203125" style="47" customWidth="1"/>
    <col min="18" max="18" width="9.6640625" style="47" customWidth="1"/>
    <col min="19" max="19" width="8.83203125" style="47" customWidth="1"/>
    <col min="20" max="20" width="10.83203125" style="47" customWidth="1"/>
    <col min="21" max="21" width="10.33203125" style="47" customWidth="1"/>
    <col min="22" max="22" width="8.33203125" style="47" customWidth="1"/>
    <col min="23" max="23" width="11.6640625" style="47" customWidth="1"/>
    <col min="24" max="25" width="8.33203125" style="47" customWidth="1"/>
    <col min="26" max="26" width="11.1640625" style="47" customWidth="1"/>
    <col min="27" max="27" width="9.83203125" style="47" customWidth="1"/>
    <col min="28" max="28" width="8.33203125" style="47" customWidth="1"/>
    <col min="29" max="29" width="10.83203125" style="47" customWidth="1"/>
    <col min="30" max="30" width="10.1640625" style="47" customWidth="1"/>
    <col min="31" max="31" width="8.33203125" style="47" customWidth="1"/>
    <col min="32" max="32" width="10.83203125" style="47" customWidth="1"/>
    <col min="33" max="33" width="10.33203125" style="3" customWidth="1"/>
    <col min="34" max="35" width="12.33203125" style="3" customWidth="1"/>
    <col min="36" max="36" width="10.33203125" style="3" customWidth="1"/>
    <col min="37" max="37" width="12.33203125" style="3" customWidth="1"/>
    <col min="38" max="38" width="12.33203125" style="781" customWidth="1"/>
    <col min="39" max="39" width="13.6640625" style="3" customWidth="1"/>
    <col min="40" max="40" width="6.33203125" style="3" customWidth="1"/>
    <col min="41" max="41" width="58.1640625" style="3" customWidth="1"/>
    <col min="42" max="47" width="11.6640625" style="48" customWidth="1"/>
    <col min="48" max="48" width="12.33203125" style="3" customWidth="1"/>
    <col min="49" max="49" width="12" style="49" customWidth="1"/>
    <col min="50" max="50" width="13.6640625" style="3" customWidth="1"/>
    <col min="51" max="51" width="16" style="3" customWidth="1"/>
    <col min="52" max="52" width="17.83203125" style="3" customWidth="1"/>
    <col min="53" max="53" width="15" style="3" customWidth="1"/>
    <col min="54" max="54" width="52.1640625" style="3" customWidth="1"/>
    <col min="55" max="16384" width="9.33203125" style="3"/>
  </cols>
  <sheetData>
    <row r="1" spans="1:62" s="57" customFormat="1" ht="15">
      <c r="A1" s="50"/>
      <c r="B1" s="51" t="s">
        <v>346</v>
      </c>
      <c r="C1" s="937" t="str">
        <f>Ogolne!D5</f>
        <v>Bydgoszcz</v>
      </c>
      <c r="D1" s="937"/>
      <c r="E1" s="937"/>
      <c r="F1" s="937"/>
      <c r="G1" s="937"/>
      <c r="H1" s="937"/>
      <c r="I1" s="52"/>
      <c r="J1" s="52"/>
      <c r="K1" s="52"/>
      <c r="L1" s="52"/>
      <c r="M1" s="52"/>
      <c r="N1" s="53"/>
      <c r="O1" s="53"/>
      <c r="P1" s="52"/>
      <c r="Q1" s="52"/>
      <c r="R1" s="54"/>
      <c r="S1" s="52"/>
      <c r="T1" s="52"/>
      <c r="U1" s="52"/>
      <c r="V1" s="52"/>
      <c r="W1" s="52"/>
      <c r="X1" s="52"/>
      <c r="Y1" s="52"/>
      <c r="Z1" s="52"/>
      <c r="AA1" s="52"/>
      <c r="AB1" s="52"/>
      <c r="AC1" s="52"/>
      <c r="AD1" s="52"/>
      <c r="AE1" s="52"/>
      <c r="AF1" s="52"/>
      <c r="AG1" s="50"/>
      <c r="AH1" s="50"/>
      <c r="AI1" s="50"/>
      <c r="AJ1" s="50"/>
      <c r="AK1" s="50"/>
      <c r="AL1" s="774"/>
      <c r="AM1" s="50"/>
      <c r="AN1" s="50"/>
      <c r="AO1" s="50"/>
      <c r="AP1" s="55"/>
      <c r="AQ1" s="55"/>
      <c r="AR1" s="55"/>
      <c r="AS1" s="55"/>
      <c r="AT1" s="55"/>
      <c r="AU1" s="55"/>
      <c r="AV1" s="50"/>
      <c r="AW1" s="56"/>
      <c r="AX1" s="50"/>
      <c r="AY1" s="50"/>
      <c r="AZ1" s="50"/>
      <c r="BA1" s="50"/>
      <c r="BB1" s="50"/>
      <c r="BC1" s="50"/>
      <c r="BD1" s="50"/>
    </row>
    <row r="2" spans="1:62" ht="6" customHeight="1">
      <c r="A2" s="5"/>
      <c r="B2" s="5"/>
      <c r="C2" s="5"/>
      <c r="D2" s="53"/>
      <c r="E2" s="53"/>
      <c r="F2" s="782"/>
      <c r="G2" s="53"/>
      <c r="H2" s="53"/>
      <c r="I2" s="53"/>
      <c r="J2" s="53"/>
      <c r="K2" s="53"/>
      <c r="L2" s="53"/>
      <c r="M2" s="53"/>
      <c r="N2" s="53"/>
      <c r="O2" s="53"/>
      <c r="P2" s="53"/>
      <c r="Q2" s="58"/>
      <c r="R2" s="53"/>
      <c r="S2" s="53"/>
      <c r="U2" s="53"/>
      <c r="V2" s="53"/>
      <c r="W2" s="53"/>
      <c r="X2" s="53"/>
      <c r="Y2" s="53"/>
      <c r="Z2" s="53"/>
      <c r="AA2" s="53"/>
      <c r="AB2" s="53"/>
      <c r="AC2" s="53"/>
      <c r="AD2" s="53"/>
      <c r="AE2" s="53"/>
      <c r="AF2" s="53"/>
      <c r="AG2" s="5"/>
      <c r="AH2" s="5"/>
      <c r="AI2" s="5"/>
      <c r="AJ2" s="5"/>
      <c r="AK2" s="5"/>
      <c r="AL2" s="775"/>
      <c r="AM2" s="5"/>
      <c r="AN2" s="5"/>
      <c r="AO2" s="5"/>
      <c r="AP2" s="59"/>
      <c r="AQ2" s="59"/>
      <c r="AR2" s="59"/>
      <c r="AS2" s="59"/>
      <c r="AT2" s="59"/>
      <c r="AU2" s="59"/>
      <c r="AV2" s="5"/>
      <c r="AW2" s="60"/>
      <c r="AX2" s="5"/>
      <c r="AY2" s="5"/>
      <c r="AZ2" s="5"/>
      <c r="BA2" s="5"/>
      <c r="BB2" s="5"/>
      <c r="BC2" s="5"/>
      <c r="BD2" s="5"/>
    </row>
    <row r="3" spans="1:62" ht="54" customHeight="1">
      <c r="A3" s="5"/>
      <c r="B3" s="934" t="s">
        <v>347</v>
      </c>
      <c r="C3" s="934"/>
      <c r="D3" s="934"/>
      <c r="E3" s="934"/>
      <c r="F3" s="934"/>
      <c r="G3" s="934"/>
      <c r="H3" s="934"/>
      <c r="I3" s="934"/>
      <c r="J3" s="934"/>
      <c r="K3" s="934"/>
      <c r="L3" s="934"/>
      <c r="M3" s="53"/>
      <c r="N3" s="53"/>
      <c r="O3" s="53"/>
      <c r="P3" s="53"/>
      <c r="Q3" s="53"/>
      <c r="R3" s="53"/>
      <c r="S3" s="53"/>
      <c r="T3" s="53"/>
      <c r="V3" s="53"/>
      <c r="X3" s="53"/>
      <c r="Y3" s="53"/>
      <c r="Z3" s="53"/>
      <c r="AA3" s="53"/>
      <c r="AB3" s="53"/>
      <c r="AC3" s="53"/>
      <c r="AD3" s="53"/>
      <c r="AE3" s="53"/>
      <c r="AF3" s="53"/>
      <c r="AG3" s="5"/>
      <c r="AI3" s="7"/>
      <c r="AJ3" s="5"/>
      <c r="AK3" s="7"/>
      <c r="AL3" s="776"/>
      <c r="AM3" s="5"/>
      <c r="AN3" s="5"/>
      <c r="AO3" s="5"/>
      <c r="AP3" s="59"/>
      <c r="AQ3" s="59"/>
      <c r="AR3" s="59"/>
      <c r="AS3" s="59"/>
      <c r="AT3" s="59"/>
      <c r="AU3" s="59"/>
      <c r="AV3" s="5"/>
      <c r="AW3" s="60"/>
      <c r="AX3" s="5"/>
      <c r="AY3" s="5"/>
      <c r="AZ3" s="5"/>
      <c r="BA3" s="5"/>
      <c r="BB3" s="5"/>
      <c r="BC3" s="5"/>
      <c r="BD3" s="5"/>
    </row>
    <row r="4" spans="1:62" ht="23.25">
      <c r="A4" s="53"/>
      <c r="B4" s="61" t="s">
        <v>395</v>
      </c>
      <c r="C4" s="62">
        <f>corpyear</f>
        <v>2005</v>
      </c>
      <c r="D4" s="53"/>
      <c r="E4" s="53"/>
      <c r="F4" s="782"/>
      <c r="G4" s="53"/>
      <c r="H4" s="53"/>
      <c r="I4" s="53"/>
      <c r="J4" s="53"/>
      <c r="K4" s="53"/>
      <c r="L4" s="53"/>
      <c r="M4" s="53"/>
      <c r="N4" s="53"/>
      <c r="O4" s="53"/>
      <c r="P4" s="53"/>
      <c r="Q4" s="53"/>
      <c r="R4" s="53"/>
      <c r="S4" s="53"/>
      <c r="T4" s="53"/>
      <c r="U4" s="53"/>
      <c r="V4" s="53"/>
      <c r="W4" s="53"/>
      <c r="X4" s="53"/>
      <c r="Y4" s="53"/>
      <c r="Z4" s="53"/>
      <c r="AA4" s="53"/>
      <c r="AB4" s="53"/>
      <c r="AC4" s="53"/>
      <c r="AD4" s="53"/>
      <c r="AE4" s="53"/>
      <c r="AF4" s="53"/>
      <c r="AG4" s="5"/>
      <c r="AH4" s="53"/>
      <c r="AI4" s="7"/>
      <c r="AJ4" s="5"/>
      <c r="AK4" s="7"/>
      <c r="AL4" s="776"/>
      <c r="AM4" s="5"/>
      <c r="AN4" s="5"/>
      <c r="AO4" s="5"/>
      <c r="AP4" s="59"/>
      <c r="AQ4" s="59"/>
      <c r="AR4" s="59"/>
      <c r="AS4" s="59"/>
      <c r="AT4" s="59"/>
      <c r="AU4" s="59"/>
      <c r="AV4" s="5"/>
      <c r="AW4" s="60"/>
      <c r="AX4" s="5"/>
      <c r="AY4" s="5"/>
      <c r="AZ4" s="5"/>
      <c r="BA4" s="5"/>
      <c r="BB4" s="5"/>
      <c r="BC4" s="5"/>
      <c r="BD4" s="5"/>
    </row>
    <row r="5" spans="1:62">
      <c r="A5" s="5"/>
      <c r="B5" s="63"/>
      <c r="C5" s="53"/>
      <c r="D5" s="64"/>
      <c r="E5" s="64"/>
      <c r="F5" s="783"/>
      <c r="G5" s="53"/>
      <c r="H5" s="53"/>
      <c r="I5" s="65"/>
      <c r="J5" s="65"/>
      <c r="K5" s="53"/>
      <c r="L5" s="53"/>
      <c r="M5" s="53"/>
      <c r="N5" s="53"/>
      <c r="O5" s="53"/>
      <c r="P5" s="53"/>
      <c r="Q5" s="53"/>
      <c r="R5" s="53"/>
      <c r="S5" s="53"/>
      <c r="T5" s="53"/>
      <c r="U5" s="53"/>
      <c r="V5" s="53"/>
      <c r="W5" s="53"/>
      <c r="X5" s="53"/>
      <c r="Y5" s="53"/>
      <c r="Z5" s="53"/>
      <c r="AA5" s="53"/>
      <c r="AB5" s="53"/>
      <c r="AC5" s="53"/>
      <c r="AD5" s="53"/>
      <c r="AE5" s="53"/>
      <c r="AF5" s="53"/>
      <c r="AG5" s="5"/>
      <c r="AH5" s="5"/>
      <c r="AI5" s="5"/>
      <c r="AJ5" s="5"/>
      <c r="AK5" s="5"/>
      <c r="AL5" s="775"/>
      <c r="AM5" s="5"/>
      <c r="AN5" s="5"/>
      <c r="AO5" s="5"/>
      <c r="AP5" s="59"/>
      <c r="AQ5" s="59"/>
      <c r="AR5" s="59"/>
      <c r="AS5" s="59"/>
      <c r="AT5" s="59"/>
      <c r="AU5" s="59"/>
      <c r="AV5" s="5"/>
      <c r="AW5" s="60"/>
      <c r="AX5" s="5"/>
      <c r="AY5" s="5"/>
      <c r="AZ5" s="5"/>
      <c r="BA5" s="5"/>
      <c r="BB5" s="5"/>
      <c r="BC5" s="5"/>
      <c r="BD5" s="5"/>
    </row>
    <row r="6" spans="1:62" ht="12.75" customHeight="1">
      <c r="A6" s="5"/>
      <c r="B6" s="66" t="s">
        <v>396</v>
      </c>
      <c r="C6" s="66"/>
      <c r="D6" s="938" t="s">
        <v>397</v>
      </c>
      <c r="E6" s="938"/>
      <c r="F6" s="938"/>
      <c r="G6" s="938"/>
      <c r="H6" s="938"/>
      <c r="I6" s="938"/>
      <c r="J6" s="938"/>
      <c r="K6" s="938"/>
      <c r="L6" s="938"/>
      <c r="M6" s="938"/>
      <c r="N6" s="938"/>
      <c r="O6" s="938"/>
      <c r="P6" s="938"/>
      <c r="Q6" s="938"/>
      <c r="S6" s="53"/>
      <c r="T6" s="53"/>
      <c r="U6" s="53"/>
      <c r="V6" s="53"/>
      <c r="W6" s="53"/>
      <c r="X6" s="53"/>
      <c r="Y6" s="53"/>
      <c r="Z6" s="53"/>
      <c r="AA6" s="53"/>
      <c r="AB6" s="53"/>
      <c r="AC6" s="53"/>
      <c r="AD6" s="53"/>
      <c r="AE6" s="53"/>
      <c r="AF6" s="53"/>
      <c r="AG6" s="53"/>
      <c r="AH6" s="5"/>
      <c r="AI6" s="5"/>
      <c r="AJ6" s="5"/>
      <c r="AK6" s="5"/>
      <c r="AL6" s="775"/>
      <c r="AM6" s="5"/>
      <c r="AN6" s="5"/>
      <c r="AO6" s="5"/>
      <c r="AP6" s="59"/>
      <c r="AQ6" s="59"/>
      <c r="AR6" s="59"/>
      <c r="AS6" s="59"/>
      <c r="AT6" s="59"/>
      <c r="AU6" s="59"/>
      <c r="AV6" s="5"/>
      <c r="AW6" s="60"/>
      <c r="AX6" s="5"/>
      <c r="AY6" s="5"/>
      <c r="AZ6" s="5"/>
      <c r="BA6" s="5"/>
      <c r="BB6" s="5"/>
      <c r="BC6" s="5"/>
      <c r="BD6" s="5"/>
    </row>
    <row r="7" spans="1:62" ht="12.75" customHeight="1" thickBot="1">
      <c r="A7" s="5"/>
      <c r="B7" s="67"/>
      <c r="C7" s="67"/>
      <c r="D7" s="64"/>
      <c r="E7" s="64"/>
      <c r="F7" s="783"/>
      <c r="G7" s="53"/>
      <c r="H7" s="53"/>
      <c r="I7" s="53"/>
      <c r="J7" s="53"/>
      <c r="K7" s="53"/>
      <c r="L7" s="53"/>
      <c r="M7" s="53"/>
      <c r="N7" s="53"/>
      <c r="O7" s="53"/>
      <c r="P7" s="53"/>
      <c r="Q7" s="53"/>
      <c r="R7" s="68"/>
      <c r="S7" s="69"/>
      <c r="T7" s="68"/>
      <c r="U7" s="53"/>
      <c r="V7" s="53"/>
      <c r="W7" s="53"/>
      <c r="X7" s="53"/>
      <c r="Y7" s="53"/>
      <c r="Z7" s="70"/>
      <c r="AA7" s="53"/>
      <c r="AB7" s="53"/>
      <c r="AC7" s="53"/>
      <c r="AD7" s="53"/>
      <c r="AE7" s="53"/>
      <c r="AF7" s="53"/>
      <c r="AG7" s="5"/>
      <c r="AH7" s="5"/>
      <c r="AI7" s="5"/>
      <c r="AJ7" s="5"/>
      <c r="AK7" s="5"/>
      <c r="AL7" s="775"/>
      <c r="AM7" s="5"/>
      <c r="AN7" s="5"/>
      <c r="AO7" s="5"/>
      <c r="AP7" s="59"/>
      <c r="AQ7" s="59"/>
      <c r="AR7" s="59"/>
      <c r="AS7" s="59"/>
      <c r="AT7" s="59"/>
      <c r="AU7" s="59"/>
      <c r="AV7" s="5"/>
      <c r="AW7" s="60"/>
      <c r="AX7" s="5"/>
      <c r="AY7" s="5"/>
      <c r="AZ7" s="5"/>
      <c r="BA7" s="5"/>
      <c r="BB7" s="5"/>
      <c r="BC7" s="5"/>
      <c r="BD7" s="5"/>
    </row>
    <row r="8" spans="1:62" s="78" customFormat="1">
      <c r="A8" s="71"/>
      <c r="B8" s="72" t="s">
        <v>348</v>
      </c>
      <c r="C8" s="73"/>
      <c r="D8" s="936" t="s">
        <v>349</v>
      </c>
      <c r="E8" s="936"/>
      <c r="F8" s="936"/>
      <c r="G8" s="936"/>
      <c r="H8" s="936" t="s">
        <v>350</v>
      </c>
      <c r="I8" s="936"/>
      <c r="J8" s="936"/>
      <c r="K8" s="936"/>
      <c r="L8" s="936" t="s">
        <v>351</v>
      </c>
      <c r="M8" s="936"/>
      <c r="N8" s="936"/>
      <c r="O8" s="936" t="s">
        <v>353</v>
      </c>
      <c r="P8" s="936"/>
      <c r="Q8" s="936"/>
      <c r="R8" s="936" t="s">
        <v>352</v>
      </c>
      <c r="S8" s="936"/>
      <c r="T8" s="936"/>
      <c r="U8" s="940" t="s">
        <v>354</v>
      </c>
      <c r="V8" s="940"/>
      <c r="W8" s="940"/>
      <c r="X8" s="940" t="s">
        <v>355</v>
      </c>
      <c r="Y8" s="940"/>
      <c r="Z8" s="940"/>
      <c r="AA8" s="936" t="s">
        <v>356</v>
      </c>
      <c r="AB8" s="936"/>
      <c r="AC8" s="936"/>
      <c r="AD8" s="936" t="s">
        <v>357</v>
      </c>
      <c r="AE8" s="936"/>
      <c r="AF8" s="936"/>
      <c r="AG8" s="936" t="s">
        <v>358</v>
      </c>
      <c r="AH8" s="936"/>
      <c r="AI8" s="936"/>
      <c r="AJ8" s="939" t="s">
        <v>359</v>
      </c>
      <c r="AK8" s="939"/>
      <c r="AL8" s="939"/>
      <c r="AM8" s="939"/>
      <c r="AN8" s="5"/>
      <c r="AO8" s="74"/>
      <c r="AP8" s="74"/>
      <c r="AQ8" s="74"/>
      <c r="AR8" s="74" t="s">
        <v>372</v>
      </c>
      <c r="AS8" s="74"/>
      <c r="AT8" s="940" t="s">
        <v>402</v>
      </c>
      <c r="AU8" s="940"/>
      <c r="AV8" s="75" t="s">
        <v>373</v>
      </c>
      <c r="AW8" s="75" t="s">
        <v>374</v>
      </c>
      <c r="AX8" s="75" t="s">
        <v>375</v>
      </c>
      <c r="AY8" s="75" t="s">
        <v>376</v>
      </c>
      <c r="AZ8" s="75" t="s">
        <v>377</v>
      </c>
      <c r="BA8" s="76" t="s">
        <v>378</v>
      </c>
      <c r="BB8" s="77"/>
      <c r="BC8" s="71"/>
      <c r="BD8" s="71"/>
      <c r="BE8" s="71"/>
      <c r="BF8" s="71"/>
      <c r="BG8" s="71"/>
      <c r="BH8" s="71"/>
      <c r="BI8" s="71"/>
      <c r="BJ8" s="71"/>
    </row>
    <row r="9" spans="1:62" s="89" customFormat="1" ht="60">
      <c r="A9" s="79"/>
      <c r="B9" s="814" t="s">
        <v>369</v>
      </c>
      <c r="C9" s="710" t="s">
        <v>365</v>
      </c>
      <c r="D9" s="80" t="s">
        <v>361</v>
      </c>
      <c r="E9" s="80" t="s">
        <v>360</v>
      </c>
      <c r="F9" s="792" t="s">
        <v>367</v>
      </c>
      <c r="G9" s="80" t="s">
        <v>366</v>
      </c>
      <c r="H9" s="80" t="s">
        <v>362</v>
      </c>
      <c r="I9" s="80" t="s">
        <v>360</v>
      </c>
      <c r="J9" s="791" t="s">
        <v>367</v>
      </c>
      <c r="K9" s="80" t="s">
        <v>366</v>
      </c>
      <c r="L9" s="80" t="s">
        <v>362</v>
      </c>
      <c r="M9" s="80" t="s">
        <v>360</v>
      </c>
      <c r="N9" s="80" t="s">
        <v>366</v>
      </c>
      <c r="O9" s="80" t="s">
        <v>363</v>
      </c>
      <c r="P9" s="80" t="s">
        <v>360</v>
      </c>
      <c r="Q9" s="80" t="s">
        <v>366</v>
      </c>
      <c r="R9" s="80" t="s">
        <v>363</v>
      </c>
      <c r="S9" s="80" t="s">
        <v>360</v>
      </c>
      <c r="T9" s="80" t="s">
        <v>366</v>
      </c>
      <c r="U9" s="80" t="s">
        <v>368</v>
      </c>
      <c r="V9" s="80" t="s">
        <v>360</v>
      </c>
      <c r="W9" s="80" t="s">
        <v>366</v>
      </c>
      <c r="X9" s="80" t="s">
        <v>368</v>
      </c>
      <c r="Y9" s="80" t="s">
        <v>360</v>
      </c>
      <c r="Z9" s="80" t="s">
        <v>366</v>
      </c>
      <c r="AA9" s="80" t="s">
        <v>363</v>
      </c>
      <c r="AB9" s="80" t="s">
        <v>360</v>
      </c>
      <c r="AC9" s="80" t="s">
        <v>366</v>
      </c>
      <c r="AD9" s="80" t="s">
        <v>363</v>
      </c>
      <c r="AE9" s="80" t="s">
        <v>360</v>
      </c>
      <c r="AF9" s="80" t="s">
        <v>366</v>
      </c>
      <c r="AG9" s="80" t="s">
        <v>368</v>
      </c>
      <c r="AH9" s="80" t="s">
        <v>360</v>
      </c>
      <c r="AI9" s="80" t="s">
        <v>366</v>
      </c>
      <c r="AJ9" s="80" t="s">
        <v>364</v>
      </c>
      <c r="AK9" s="80" t="s">
        <v>360</v>
      </c>
      <c r="AL9" s="790" t="s">
        <v>367</v>
      </c>
      <c r="AM9" s="81" t="s">
        <v>366</v>
      </c>
      <c r="AN9" s="82"/>
      <c r="AO9" s="815" t="s">
        <v>369</v>
      </c>
      <c r="AP9" s="83" t="str">
        <f t="shared" ref="AP9:AP22" si="0">C9</f>
        <v>Kod</v>
      </c>
      <c r="AQ9" s="84" t="s">
        <v>380</v>
      </c>
      <c r="AR9" s="85" t="s">
        <v>381</v>
      </c>
      <c r="AS9" s="85" t="s">
        <v>382</v>
      </c>
      <c r="AT9" s="85" t="s">
        <v>383</v>
      </c>
      <c r="AU9" s="85" t="s">
        <v>384</v>
      </c>
      <c r="AV9" s="86" t="s">
        <v>385</v>
      </c>
      <c r="AW9" s="86" t="s">
        <v>386</v>
      </c>
      <c r="AX9" s="86" t="s">
        <v>387</v>
      </c>
      <c r="AY9" s="86" t="s">
        <v>388</v>
      </c>
      <c r="AZ9" s="86" t="s">
        <v>389</v>
      </c>
      <c r="BA9" s="87" t="s">
        <v>401</v>
      </c>
      <c r="BB9" s="88" t="s">
        <v>379</v>
      </c>
      <c r="BC9" s="77"/>
      <c r="BD9" s="77"/>
      <c r="BE9" s="77"/>
      <c r="BF9" s="79"/>
      <c r="BG9" s="79"/>
      <c r="BH9" s="79"/>
      <c r="BI9" s="79"/>
      <c r="BJ9" s="79"/>
    </row>
    <row r="10" spans="1:62" s="101" customFormat="1">
      <c r="A10" s="793"/>
      <c r="B10" s="713" t="s">
        <v>236</v>
      </c>
      <c r="C10" s="726" t="s">
        <v>183</v>
      </c>
      <c r="D10" s="709">
        <v>186045</v>
      </c>
      <c r="E10" s="94">
        <v>76495.03</v>
      </c>
      <c r="F10" s="784">
        <f t="shared" ref="F10:F41" si="1">IFERROR(E10/D10,"")</f>
        <v>0.41116412695853155</v>
      </c>
      <c r="G10" s="95">
        <f>D10*(HLOOKUP(Ogolne!$D$6,'Wskazniki emisji elektrycznosc'!$B$8:$G$29,Ogolne!$E$7,TRUE))/1000</f>
        <v>182.69619</v>
      </c>
      <c r="H10" s="709">
        <v>57434</v>
      </c>
      <c r="I10" s="94">
        <f>H10*1.13</f>
        <v>64900.419999999991</v>
      </c>
      <c r="J10" s="784">
        <f t="shared" ref="J10:J41" si="2">IFERROR(I10/H10,"")</f>
        <v>1.1299999999999999</v>
      </c>
      <c r="K10" s="95">
        <f>H10*'Wskazniki emisji paliw'!M$26</f>
        <v>416.52857876448996</v>
      </c>
      <c r="L10" s="93"/>
      <c r="M10" s="94"/>
      <c r="N10" s="95">
        <f>L10*'Wskazniki emisji paliw'!M$27</f>
        <v>0</v>
      </c>
      <c r="O10" s="93"/>
      <c r="P10" s="94"/>
      <c r="Q10" s="95">
        <f>O10*'Wskazniki emisji paliw'!L$17</f>
        <v>0</v>
      </c>
      <c r="R10" s="93"/>
      <c r="S10" s="94"/>
      <c r="T10" s="95">
        <f>R10*'Wskazniki emisji paliw'!L$18</f>
        <v>0</v>
      </c>
      <c r="U10" s="93"/>
      <c r="V10" s="94"/>
      <c r="W10" s="95">
        <f>U10*'Wskazniki emisji paliw'!N$10</f>
        <v>0</v>
      </c>
      <c r="X10" s="93"/>
      <c r="Y10" s="94"/>
      <c r="Z10" s="95">
        <f>X10*'Wskazniki emisji paliw'!N$11</f>
        <v>0</v>
      </c>
      <c r="AA10" s="93"/>
      <c r="AB10" s="94"/>
      <c r="AC10" s="95">
        <f>AA10*'Wskazniki emisji paliw'!L$21</f>
        <v>0</v>
      </c>
      <c r="AD10" s="93"/>
      <c r="AE10" s="94"/>
      <c r="AF10" s="95">
        <f>AD10*'Wskazniki emisji paliw'!L$20</f>
        <v>0</v>
      </c>
      <c r="AG10" s="93"/>
      <c r="AH10" s="94"/>
      <c r="AI10" s="95">
        <f>AG10*'Wskazniki emisji paliw'!N$13</f>
        <v>0</v>
      </c>
      <c r="AJ10" s="93">
        <v>353.76944444444445</v>
      </c>
      <c r="AK10" s="94">
        <v>77726.2</v>
      </c>
      <c r="AL10" s="777">
        <f t="shared" ref="AL10:AL41" si="3">IFERROR(AK10/AJ10,"")</f>
        <v>219.70863007137416</v>
      </c>
      <c r="AM10" s="96">
        <f>AJ10*'Wskazniki emisji paliw'!K$35</f>
        <v>114.62130000000001</v>
      </c>
      <c r="AN10" s="5"/>
      <c r="AO10" s="91" t="str">
        <f t="shared" ref="AO10:AO22" si="4">B10</f>
        <v>Administracja Domów Miejskich "ADM" Sp. z o.o.</v>
      </c>
      <c r="AP10" s="91" t="str">
        <f t="shared" si="0"/>
        <v>ADM</v>
      </c>
      <c r="AQ10" s="758">
        <v>2510</v>
      </c>
      <c r="AR10" s="759">
        <v>300</v>
      </c>
      <c r="AS10" s="752"/>
      <c r="AT10" s="94">
        <f t="shared" ref="AT10:AT22" si="5">E10+I10+M10+P10+S10+V10+Y10+AB10+AE10+AH10+AK10</f>
        <v>219121.64999999997</v>
      </c>
      <c r="AU10" s="95">
        <f t="shared" ref="AU10:AU22" si="6">G10+K10+N10+Q10+T10+W10+Z10+AC10+AF10+AI10+AM10</f>
        <v>713.84606876448993</v>
      </c>
      <c r="AV10" s="98">
        <f t="shared" ref="AV10:AV41" si="7">IFERROR(AT10/AQ10,"")</f>
        <v>87.299462151394408</v>
      </c>
      <c r="AW10" s="98">
        <f t="shared" ref="AW10:AW41" si="8">IFERROR(AT10/AR10,"")</f>
        <v>730.40549999999985</v>
      </c>
      <c r="AX10" s="98" t="str">
        <f t="shared" ref="AX10:AX41" si="9">IFERROR(AT10/AS10,"")</f>
        <v/>
      </c>
      <c r="AY10" s="98">
        <f t="shared" ref="AY10:AY41" si="10">IFERROR(AU10/AQ10,"")</f>
        <v>0.28440082420896012</v>
      </c>
      <c r="AZ10" s="98">
        <f t="shared" ref="AZ10:AZ41" si="11">IFERROR(AU10/AR10,"")</f>
        <v>2.3794868958816333</v>
      </c>
      <c r="BA10" s="99" t="str">
        <f t="shared" ref="BA10:BA41" si="12">IFERROR(AU10/AS10,"")</f>
        <v/>
      </c>
      <c r="BB10" s="100"/>
      <c r="BC10" s="90"/>
      <c r="BD10" s="90"/>
      <c r="BE10" s="90"/>
      <c r="BF10" s="90"/>
      <c r="BG10" s="90"/>
      <c r="BH10" s="90"/>
      <c r="BI10" s="90"/>
      <c r="BJ10" s="90"/>
    </row>
    <row r="11" spans="1:62" s="101" customFormat="1">
      <c r="A11" s="793"/>
      <c r="B11" s="773" t="s">
        <v>237</v>
      </c>
      <c r="C11" s="733" t="s">
        <v>213</v>
      </c>
      <c r="D11" s="709"/>
      <c r="E11" s="94"/>
      <c r="F11" s="784" t="str">
        <f t="shared" si="1"/>
        <v/>
      </c>
      <c r="G11" s="95">
        <f>D11*(HLOOKUP(Ogolne!$D$6,'Wskazniki emisji elektrycznosc'!$B$8:$G$29,Ogolne!$E$7,TRUE))/1000</f>
        <v>0</v>
      </c>
      <c r="H11" s="93"/>
      <c r="I11" s="94"/>
      <c r="J11" s="784" t="str">
        <f t="shared" si="2"/>
        <v/>
      </c>
      <c r="K11" s="95">
        <f>H11*'Wskazniki emisji paliw'!M$26</f>
        <v>0</v>
      </c>
      <c r="L11" s="93"/>
      <c r="M11" s="94"/>
      <c r="N11" s="95">
        <f>L11*'Wskazniki emisji paliw'!M$27</f>
        <v>0</v>
      </c>
      <c r="O11" s="93"/>
      <c r="P11" s="94"/>
      <c r="Q11" s="95">
        <f>O11*'Wskazniki emisji paliw'!L$17</f>
        <v>0</v>
      </c>
      <c r="R11" s="93"/>
      <c r="S11" s="94"/>
      <c r="T11" s="95">
        <f>R11*'Wskazniki emisji paliw'!L$18</f>
        <v>0</v>
      </c>
      <c r="U11" s="93"/>
      <c r="V11" s="94"/>
      <c r="W11" s="95">
        <f>U11*'Wskazniki emisji paliw'!N$10</f>
        <v>0</v>
      </c>
      <c r="X11" s="93"/>
      <c r="Y11" s="94"/>
      <c r="Z11" s="95">
        <f>X11*'Wskazniki emisji paliw'!N$11</f>
        <v>0</v>
      </c>
      <c r="AA11" s="93"/>
      <c r="AB11" s="94"/>
      <c r="AC11" s="95">
        <f>AA11*'Wskazniki emisji paliw'!L$21</f>
        <v>0</v>
      </c>
      <c r="AD11" s="93"/>
      <c r="AE11" s="94"/>
      <c r="AF11" s="95">
        <f>AD11*'Wskazniki emisji paliw'!L$20</f>
        <v>0</v>
      </c>
      <c r="AG11" s="93"/>
      <c r="AH11" s="94"/>
      <c r="AI11" s="95">
        <f>AG11*'Wskazniki emisji paliw'!N$13</f>
        <v>0</v>
      </c>
      <c r="AJ11" s="93"/>
      <c r="AK11" s="94"/>
      <c r="AL11" s="777" t="str">
        <f t="shared" si="3"/>
        <v/>
      </c>
      <c r="AM11" s="96">
        <f>AJ11*'Wskazniki emisji paliw'!K$35</f>
        <v>0</v>
      </c>
      <c r="AN11" s="5"/>
      <c r="AO11" s="91" t="str">
        <f t="shared" si="4"/>
        <v>Bydgoski Fundusz Poręczeń Kredytowych Sp. z o.o.</v>
      </c>
      <c r="AP11" s="91" t="str">
        <f t="shared" si="0"/>
        <v>BFPK</v>
      </c>
      <c r="AQ11" s="758"/>
      <c r="AR11" s="759"/>
      <c r="AS11" s="759"/>
      <c r="AT11" s="94">
        <f t="shared" si="5"/>
        <v>0</v>
      </c>
      <c r="AU11" s="95">
        <f t="shared" si="6"/>
        <v>0</v>
      </c>
      <c r="AV11" s="98" t="str">
        <f t="shared" si="7"/>
        <v/>
      </c>
      <c r="AW11" s="98" t="str">
        <f t="shared" si="8"/>
        <v/>
      </c>
      <c r="AX11" s="98" t="str">
        <f t="shared" si="9"/>
        <v/>
      </c>
      <c r="AY11" s="98" t="str">
        <f t="shared" si="10"/>
        <v/>
      </c>
      <c r="AZ11" s="98" t="str">
        <f t="shared" si="11"/>
        <v/>
      </c>
      <c r="BA11" s="99" t="str">
        <f t="shared" si="12"/>
        <v/>
      </c>
      <c r="BB11" s="100" t="s">
        <v>302</v>
      </c>
      <c r="BC11" s="90"/>
      <c r="BD11" s="90"/>
      <c r="BE11" s="90"/>
      <c r="BF11" s="90"/>
      <c r="BG11" s="90"/>
      <c r="BH11" s="90"/>
      <c r="BI11" s="90"/>
      <c r="BJ11" s="90"/>
    </row>
    <row r="12" spans="1:62" s="101" customFormat="1">
      <c r="A12" s="793"/>
      <c r="B12" s="713" t="s">
        <v>239</v>
      </c>
      <c r="C12" s="726" t="s">
        <v>216</v>
      </c>
      <c r="D12" s="709">
        <v>14719</v>
      </c>
      <c r="E12" s="94">
        <f>D12*0.4</f>
        <v>5887.6</v>
      </c>
      <c r="F12" s="784">
        <f t="shared" si="1"/>
        <v>0.4</v>
      </c>
      <c r="G12" s="95">
        <f>D12*(HLOOKUP(Ogolne!$D$6,'Wskazniki emisji elektrycznosc'!$B$8:$G$29,Ogolne!$E$7,TRUE))/1000</f>
        <v>14.454058</v>
      </c>
      <c r="H12" s="93"/>
      <c r="I12" s="94"/>
      <c r="J12" s="784" t="str">
        <f t="shared" si="2"/>
        <v/>
      </c>
      <c r="K12" s="95">
        <f>H12*'Wskazniki emisji paliw'!M$26</f>
        <v>0</v>
      </c>
      <c r="L12" s="93"/>
      <c r="M12" s="94"/>
      <c r="N12" s="95">
        <f>L12*'Wskazniki emisji paliw'!M$27</f>
        <v>0</v>
      </c>
      <c r="O12" s="93"/>
      <c r="P12" s="94"/>
      <c r="Q12" s="95">
        <f>O12*'Wskazniki emisji paliw'!L$17</f>
        <v>0</v>
      </c>
      <c r="R12" s="93"/>
      <c r="S12" s="94"/>
      <c r="T12" s="95">
        <f>R12*'Wskazniki emisji paliw'!L$18</f>
        <v>0</v>
      </c>
      <c r="U12" s="93"/>
      <c r="V12" s="94"/>
      <c r="W12" s="95">
        <f>U12*'Wskazniki emisji paliw'!N$10</f>
        <v>0</v>
      </c>
      <c r="X12" s="93"/>
      <c r="Y12" s="94"/>
      <c r="Z12" s="95">
        <f>X12*'Wskazniki emisji paliw'!N$11</f>
        <v>0</v>
      </c>
      <c r="AA12" s="93"/>
      <c r="AB12" s="94"/>
      <c r="AC12" s="95">
        <f>AA12*'Wskazniki emisji paliw'!L$21</f>
        <v>0</v>
      </c>
      <c r="AD12" s="93"/>
      <c r="AE12" s="94"/>
      <c r="AF12" s="95">
        <f>AD12*'Wskazniki emisji paliw'!L$20</f>
        <v>0</v>
      </c>
      <c r="AG12" s="93"/>
      <c r="AH12" s="94"/>
      <c r="AI12" s="95">
        <f>AG12*'Wskazniki emisji paliw'!N$13</f>
        <v>0</v>
      </c>
      <c r="AJ12" s="93">
        <v>852.94</v>
      </c>
      <c r="AK12" s="94">
        <v>44133.08</v>
      </c>
      <c r="AL12" s="777">
        <f t="shared" si="3"/>
        <v>51.742303092831854</v>
      </c>
      <c r="AM12" s="96">
        <f>AJ12*'Wskazniki emisji paliw'!K$35</f>
        <v>276.35256000000004</v>
      </c>
      <c r="AN12" s="5"/>
      <c r="AO12" s="91" t="str">
        <f t="shared" si="4"/>
        <v>Bydgoski Ośrodek Rehabilitacji ,Terapii Uzależnień i Profilaktyki "BORPA"</v>
      </c>
      <c r="AP12" s="91" t="str">
        <f t="shared" si="0"/>
        <v>BORPA</v>
      </c>
      <c r="AQ12" s="97">
        <v>2500</v>
      </c>
      <c r="AR12" s="97">
        <v>300</v>
      </c>
      <c r="AS12" s="97">
        <v>4021</v>
      </c>
      <c r="AT12" s="94">
        <f t="shared" si="5"/>
        <v>50020.68</v>
      </c>
      <c r="AU12" s="95">
        <f t="shared" si="6"/>
        <v>290.80661800000001</v>
      </c>
      <c r="AV12" s="98">
        <f t="shared" si="7"/>
        <v>20.008272000000002</v>
      </c>
      <c r="AW12" s="98">
        <f t="shared" si="8"/>
        <v>166.73560000000001</v>
      </c>
      <c r="AX12" s="98">
        <f t="shared" si="9"/>
        <v>12.439860731161403</v>
      </c>
      <c r="AY12" s="98">
        <f t="shared" si="10"/>
        <v>0.1163226472</v>
      </c>
      <c r="AZ12" s="98">
        <f t="shared" si="11"/>
        <v>0.96935539333333343</v>
      </c>
      <c r="BA12" s="99">
        <f t="shared" si="12"/>
        <v>7.2321964188012941E-2</v>
      </c>
      <c r="BB12" s="100"/>
      <c r="BC12" s="90"/>
      <c r="BD12" s="90"/>
      <c r="BE12" s="90"/>
      <c r="BF12" s="90"/>
      <c r="BG12" s="90"/>
      <c r="BH12" s="90"/>
      <c r="BI12" s="90"/>
      <c r="BJ12" s="90"/>
    </row>
    <row r="13" spans="1:62" s="101" customFormat="1">
      <c r="A13" s="793"/>
      <c r="B13" s="732" t="s">
        <v>240</v>
      </c>
      <c r="C13" s="733" t="s">
        <v>185</v>
      </c>
      <c r="D13" s="709">
        <v>4829</v>
      </c>
      <c r="E13" s="94">
        <v>1225</v>
      </c>
      <c r="F13" s="784">
        <f t="shared" si="1"/>
        <v>0.25367570925657484</v>
      </c>
      <c r="G13" s="95">
        <f>D13*(HLOOKUP(Ogolne!$D$6,'Wskazniki emisji elektrycznosc'!$B$8:$G$29,Ogolne!$E$7,TRUE))/1000</f>
        <v>4.7420779999999993</v>
      </c>
      <c r="H13" s="93"/>
      <c r="I13" s="94"/>
      <c r="J13" s="784" t="str">
        <f t="shared" si="2"/>
        <v/>
      </c>
      <c r="K13" s="95">
        <f>H13*'Wskazniki emisji paliw'!M$26</f>
        <v>0</v>
      </c>
      <c r="L13" s="93"/>
      <c r="M13" s="94"/>
      <c r="N13" s="95">
        <f>L13*'Wskazniki emisji paliw'!M$27</f>
        <v>0</v>
      </c>
      <c r="O13" s="93"/>
      <c r="P13" s="94"/>
      <c r="Q13" s="95">
        <f>O13*'Wskazniki emisji paliw'!L$17</f>
        <v>0</v>
      </c>
      <c r="R13" s="93"/>
      <c r="S13" s="94"/>
      <c r="T13" s="95">
        <f>R13*'Wskazniki emisji paliw'!L$18</f>
        <v>0</v>
      </c>
      <c r="U13" s="93"/>
      <c r="V13" s="94"/>
      <c r="W13" s="95">
        <f>U13*'Wskazniki emisji paliw'!N$10</f>
        <v>0</v>
      </c>
      <c r="X13" s="93"/>
      <c r="Y13" s="94"/>
      <c r="Z13" s="95">
        <f>X13*'Wskazniki emisji paliw'!N$11</f>
        <v>0</v>
      </c>
      <c r="AA13" s="93"/>
      <c r="AB13" s="94"/>
      <c r="AC13" s="95">
        <f>AA13*'Wskazniki emisji paliw'!L$21</f>
        <v>0</v>
      </c>
      <c r="AD13" s="93"/>
      <c r="AE13" s="94"/>
      <c r="AF13" s="95">
        <f>AD13*'Wskazniki emisji paliw'!L$20</f>
        <v>0</v>
      </c>
      <c r="AG13" s="93"/>
      <c r="AH13" s="94"/>
      <c r="AI13" s="95">
        <f>AG13*'Wskazniki emisji paliw'!N$13</f>
        <v>0</v>
      </c>
      <c r="AJ13" s="93">
        <v>36.11</v>
      </c>
      <c r="AK13" s="94">
        <v>5437</v>
      </c>
      <c r="AL13" s="777">
        <f t="shared" si="3"/>
        <v>150.56770977568542</v>
      </c>
      <c r="AM13" s="96">
        <f>AJ13*'Wskazniki emisji paliw'!K$35</f>
        <v>11.69964</v>
      </c>
      <c r="AN13" s="5"/>
      <c r="AO13" s="91" t="str">
        <f t="shared" si="4"/>
        <v>Bydgoski Park Przemysłowy Sp. z o.o.</v>
      </c>
      <c r="AP13" s="91" t="str">
        <f>C13</f>
        <v>BPP</v>
      </c>
      <c r="AQ13" s="97">
        <v>4380</v>
      </c>
      <c r="AR13" s="97">
        <v>247</v>
      </c>
      <c r="AS13" s="97">
        <v>1323</v>
      </c>
      <c r="AT13" s="94">
        <f t="shared" si="5"/>
        <v>6662</v>
      </c>
      <c r="AU13" s="95">
        <f t="shared" si="6"/>
        <v>16.441718000000002</v>
      </c>
      <c r="AV13" s="98">
        <f t="shared" si="7"/>
        <v>1.5210045662100458</v>
      </c>
      <c r="AW13" s="98">
        <f t="shared" si="8"/>
        <v>26.97165991902834</v>
      </c>
      <c r="AX13" s="98">
        <f t="shared" si="9"/>
        <v>5.0355253212396072</v>
      </c>
      <c r="AY13" s="98">
        <f t="shared" si="10"/>
        <v>3.7538168949771693E-3</v>
      </c>
      <c r="AZ13" s="98">
        <f t="shared" si="11"/>
        <v>6.6565659919028353E-2</v>
      </c>
      <c r="BA13" s="99">
        <f t="shared" si="12"/>
        <v>1.2427602418745277E-2</v>
      </c>
      <c r="BB13" s="100" t="s">
        <v>230</v>
      </c>
      <c r="BC13" s="90"/>
      <c r="BD13" s="90"/>
      <c r="BE13" s="90"/>
      <c r="BF13" s="90"/>
      <c r="BG13" s="90"/>
      <c r="BH13" s="90"/>
      <c r="BI13" s="90"/>
      <c r="BJ13" s="90"/>
    </row>
    <row r="14" spans="1:62" s="101" customFormat="1">
      <c r="A14" s="793"/>
      <c r="B14" s="713" t="s">
        <v>241</v>
      </c>
      <c r="C14" s="726" t="s">
        <v>186</v>
      </c>
      <c r="D14" s="709">
        <v>51830</v>
      </c>
      <c r="E14" s="94">
        <v>22059.82</v>
      </c>
      <c r="F14" s="784">
        <f t="shared" si="1"/>
        <v>0.42561875361759599</v>
      </c>
      <c r="G14" s="95">
        <f>D14*(HLOOKUP(Ogolne!$D$6,'Wskazniki emisji elektrycznosc'!$B$8:$G$29,Ogolne!$E$7,TRUE))/1000</f>
        <v>50.897059999999996</v>
      </c>
      <c r="H14" s="93"/>
      <c r="I14" s="94"/>
      <c r="J14" s="784" t="str">
        <f t="shared" si="2"/>
        <v/>
      </c>
      <c r="K14" s="95">
        <f>H14*'Wskazniki emisji paliw'!M$26</f>
        <v>0</v>
      </c>
      <c r="L14" s="93"/>
      <c r="M14" s="94"/>
      <c r="N14" s="95">
        <f>L14*'Wskazniki emisji paliw'!M$27</f>
        <v>0</v>
      </c>
      <c r="O14" s="93"/>
      <c r="P14" s="94"/>
      <c r="Q14" s="95">
        <f>O14*'Wskazniki emisji paliw'!L$17</f>
        <v>0</v>
      </c>
      <c r="R14" s="93"/>
      <c r="S14" s="94"/>
      <c r="T14" s="95">
        <f>R14*'Wskazniki emisji paliw'!L$18</f>
        <v>0</v>
      </c>
      <c r="U14" s="93"/>
      <c r="V14" s="94"/>
      <c r="W14" s="95">
        <f>U14*'Wskazniki emisji paliw'!N$10</f>
        <v>0</v>
      </c>
      <c r="X14" s="93"/>
      <c r="Y14" s="94"/>
      <c r="Z14" s="95">
        <f>X14*'Wskazniki emisji paliw'!N$11</f>
        <v>0</v>
      </c>
      <c r="AA14" s="93"/>
      <c r="AB14" s="94"/>
      <c r="AC14" s="95">
        <f>AA14*'Wskazniki emisji paliw'!L$21</f>
        <v>0</v>
      </c>
      <c r="AD14" s="93"/>
      <c r="AE14" s="94"/>
      <c r="AF14" s="95">
        <f>AD14*'Wskazniki emisji paliw'!L$20</f>
        <v>0</v>
      </c>
      <c r="AG14" s="93"/>
      <c r="AH14" s="94"/>
      <c r="AI14" s="95">
        <f>AG14*'Wskazniki emisji paliw'!N$13</f>
        <v>0</v>
      </c>
      <c r="AJ14" s="93">
        <v>2003.33</v>
      </c>
      <c r="AK14" s="94">
        <v>393402.34</v>
      </c>
      <c r="AL14" s="777">
        <f t="shared" si="3"/>
        <v>196.37420694543587</v>
      </c>
      <c r="AM14" s="96">
        <f>AJ14*'Wskazniki emisji paliw'!K$35</f>
        <v>649.07892000000004</v>
      </c>
      <c r="AN14" s="5"/>
      <c r="AO14" s="91" t="str">
        <f t="shared" si="4"/>
        <v>Bydgoskie Towarzystwo Budownictwa Społecznego Sp. z o.o.</v>
      </c>
      <c r="AP14" s="91" t="str">
        <f t="shared" si="0"/>
        <v>BTBS</v>
      </c>
      <c r="AQ14" s="97">
        <v>1686</v>
      </c>
      <c r="AR14" s="97">
        <v>3</v>
      </c>
      <c r="AS14" s="97">
        <v>470.19</v>
      </c>
      <c r="AT14" s="94">
        <f t="shared" si="5"/>
        <v>415462.16000000003</v>
      </c>
      <c r="AU14" s="95">
        <f t="shared" si="6"/>
        <v>699.97598000000005</v>
      </c>
      <c r="AV14" s="98">
        <f t="shared" si="7"/>
        <v>246.41883748517202</v>
      </c>
      <c r="AW14" s="98">
        <f t="shared" si="8"/>
        <v>138487.38666666669</v>
      </c>
      <c r="AX14" s="98">
        <f t="shared" si="9"/>
        <v>883.60484059635473</v>
      </c>
      <c r="AY14" s="98">
        <f t="shared" si="10"/>
        <v>0.4151696204033215</v>
      </c>
      <c r="AZ14" s="98">
        <f t="shared" si="11"/>
        <v>233.32532666666668</v>
      </c>
      <c r="BA14" s="99">
        <f t="shared" si="12"/>
        <v>1.4887087773027925</v>
      </c>
      <c r="BB14" s="100"/>
      <c r="BC14" s="90"/>
      <c r="BD14" s="90"/>
      <c r="BE14" s="90"/>
      <c r="BF14" s="90"/>
      <c r="BG14" s="90"/>
      <c r="BH14" s="90"/>
      <c r="BI14" s="90"/>
      <c r="BJ14" s="90"/>
    </row>
    <row r="15" spans="1:62" s="101" customFormat="1">
      <c r="A15" s="793"/>
      <c r="B15" s="713" t="s">
        <v>187</v>
      </c>
      <c r="C15" s="726" t="s">
        <v>188</v>
      </c>
      <c r="D15" s="709">
        <v>47492</v>
      </c>
      <c r="E15" s="94">
        <v>7889.71</v>
      </c>
      <c r="F15" s="784">
        <f t="shared" si="1"/>
        <v>0.16612713720205508</v>
      </c>
      <c r="G15" s="95">
        <f>D15*(HLOOKUP(Ogolne!$D$6,'Wskazniki emisji elektrycznosc'!$B$8:$G$29,Ogolne!$E$7,TRUE))/1000</f>
        <v>46.637143999999999</v>
      </c>
      <c r="H15" s="93">
        <v>90</v>
      </c>
      <c r="I15" s="94">
        <v>83.2</v>
      </c>
      <c r="J15" s="784">
        <f t="shared" si="2"/>
        <v>0.92444444444444451</v>
      </c>
      <c r="K15" s="95">
        <f>H15*'Wskazniki emisji paliw'!M$26</f>
        <v>0.65270696954424379</v>
      </c>
      <c r="L15" s="93"/>
      <c r="M15" s="94"/>
      <c r="N15" s="95">
        <f>L15*'Wskazniki emisji paliw'!M$27</f>
        <v>0</v>
      </c>
      <c r="O15" s="93"/>
      <c r="P15" s="94"/>
      <c r="Q15" s="95">
        <f>O15*'Wskazniki emisji paliw'!L$17</f>
        <v>0</v>
      </c>
      <c r="R15" s="93"/>
      <c r="S15" s="94"/>
      <c r="T15" s="95">
        <f>R15*'Wskazniki emisji paliw'!L$18</f>
        <v>0</v>
      </c>
      <c r="U15" s="93"/>
      <c r="V15" s="94"/>
      <c r="W15" s="95">
        <f>U15*'Wskazniki emisji paliw'!N$10</f>
        <v>0</v>
      </c>
      <c r="X15" s="93"/>
      <c r="Y15" s="94"/>
      <c r="Z15" s="95">
        <f>X15*'Wskazniki emisji paliw'!N$11</f>
        <v>0</v>
      </c>
      <c r="AA15" s="93"/>
      <c r="AB15" s="94"/>
      <c r="AC15" s="95">
        <f>AA15*'Wskazniki emisji paliw'!L$21</f>
        <v>0</v>
      </c>
      <c r="AD15" s="93"/>
      <c r="AE15" s="94"/>
      <c r="AF15" s="95">
        <f>AD15*'Wskazniki emisji paliw'!L$20</f>
        <v>0</v>
      </c>
      <c r="AG15" s="93"/>
      <c r="AH15" s="94"/>
      <c r="AI15" s="95">
        <f>AG15*'Wskazniki emisji paliw'!N$13</f>
        <v>0</v>
      </c>
      <c r="AJ15" s="93">
        <v>277.77999999999997</v>
      </c>
      <c r="AK15" s="94">
        <v>21313.01</v>
      </c>
      <c r="AL15" s="777">
        <f t="shared" si="3"/>
        <v>76.726222190222487</v>
      </c>
      <c r="AM15" s="96">
        <f>AJ15*'Wskazniki emisji paliw'!K$35</f>
        <v>90.000719999999987</v>
      </c>
      <c r="AN15" s="5"/>
      <c r="AO15" s="91" t="str">
        <f t="shared" si="4"/>
        <v>Galeria Miejska BWA</v>
      </c>
      <c r="AP15" s="91" t="str">
        <f t="shared" si="0"/>
        <v>GMBWA</v>
      </c>
      <c r="AQ15" s="97">
        <v>10840</v>
      </c>
      <c r="AR15" s="97">
        <v>90</v>
      </c>
      <c r="AS15" s="97">
        <v>2049.5099999999998</v>
      </c>
      <c r="AT15" s="94">
        <f t="shared" si="5"/>
        <v>29285.919999999998</v>
      </c>
      <c r="AU15" s="95">
        <f t="shared" si="6"/>
        <v>137.29057096954423</v>
      </c>
      <c r="AV15" s="98">
        <f t="shared" si="7"/>
        <v>2.7016531365313652</v>
      </c>
      <c r="AW15" s="98">
        <f t="shared" si="8"/>
        <v>325.3991111111111</v>
      </c>
      <c r="AX15" s="98">
        <f t="shared" si="9"/>
        <v>14.289230108660119</v>
      </c>
      <c r="AY15" s="98">
        <f t="shared" si="10"/>
        <v>1.2665181823758693E-2</v>
      </c>
      <c r="AZ15" s="98">
        <f t="shared" si="11"/>
        <v>1.5254507885504915</v>
      </c>
      <c r="BA15" s="99">
        <f t="shared" si="12"/>
        <v>6.6987021761076668E-2</v>
      </c>
      <c r="BB15" s="100" t="s">
        <v>303</v>
      </c>
      <c r="BC15" s="90"/>
      <c r="BD15" s="90"/>
      <c r="BE15" s="90"/>
      <c r="BF15" s="90"/>
      <c r="BG15" s="90"/>
      <c r="BH15" s="90"/>
      <c r="BI15" s="90"/>
      <c r="BJ15" s="90"/>
    </row>
    <row r="16" spans="1:62" s="101" customFormat="1">
      <c r="A16" s="793"/>
      <c r="B16" s="713" t="s">
        <v>481</v>
      </c>
      <c r="C16" s="726" t="s">
        <v>214</v>
      </c>
      <c r="D16" s="709">
        <v>571663</v>
      </c>
      <c r="E16" s="94">
        <v>276049.07</v>
      </c>
      <c r="F16" s="784">
        <f t="shared" si="1"/>
        <v>0.48288776779326281</v>
      </c>
      <c r="G16" s="95">
        <f>D16*(HLOOKUP(Ogolne!$D$6,'Wskazniki emisji elektrycznosc'!$B$8:$G$29,Ogolne!$E$7,TRUE))/1000</f>
        <v>561.37306599999999</v>
      </c>
      <c r="H16" s="93"/>
      <c r="I16" s="94"/>
      <c r="J16" s="784" t="str">
        <f t="shared" si="2"/>
        <v/>
      </c>
      <c r="K16" s="95">
        <f>H16*'Wskazniki emisji paliw'!M$26</f>
        <v>0</v>
      </c>
      <c r="L16" s="93"/>
      <c r="M16" s="94"/>
      <c r="N16" s="95">
        <f>L16*'Wskazniki emisji paliw'!M$27</f>
        <v>0</v>
      </c>
      <c r="O16" s="93"/>
      <c r="P16" s="94"/>
      <c r="Q16" s="95">
        <f>O16*'Wskazniki emisji paliw'!L$17</f>
        <v>0</v>
      </c>
      <c r="R16" s="93"/>
      <c r="S16" s="94"/>
      <c r="T16" s="95">
        <f>R16*'Wskazniki emisji paliw'!L$18</f>
        <v>0</v>
      </c>
      <c r="U16" s="93"/>
      <c r="V16" s="94"/>
      <c r="W16" s="95">
        <f>U16*'Wskazniki emisji paliw'!N$10</f>
        <v>0</v>
      </c>
      <c r="X16" s="93"/>
      <c r="Y16" s="94"/>
      <c r="Z16" s="95">
        <f>X16*'Wskazniki emisji paliw'!N$11</f>
        <v>0</v>
      </c>
      <c r="AA16" s="93"/>
      <c r="AB16" s="94"/>
      <c r="AC16" s="95">
        <f>AA16*'Wskazniki emisji paliw'!L$21</f>
        <v>0</v>
      </c>
      <c r="AD16" s="93"/>
      <c r="AE16" s="94"/>
      <c r="AF16" s="95">
        <f>AD16*'Wskazniki emisji paliw'!L$20</f>
        <v>0</v>
      </c>
      <c r="AG16" s="93"/>
      <c r="AH16" s="94"/>
      <c r="AI16" s="95">
        <f>AG16*'Wskazniki emisji paliw'!N$13</f>
        <v>0</v>
      </c>
      <c r="AJ16" s="93">
        <v>1232.22</v>
      </c>
      <c r="AK16" s="94">
        <v>302569.57</v>
      </c>
      <c r="AL16" s="777">
        <f t="shared" si="3"/>
        <v>245.54833552450049</v>
      </c>
      <c r="AM16" s="96">
        <f>AJ16*'Wskazniki emisji paliw'!K$35</f>
        <v>399.23928000000001</v>
      </c>
      <c r="AN16" s="5"/>
      <c r="AO16" s="91" t="str">
        <f t="shared" si="4"/>
        <v xml:space="preserve">Hala Sportowo-WKodowiskowa Łuczniczka Bydgoszcz </v>
      </c>
      <c r="AP16" s="91" t="str">
        <f t="shared" si="0"/>
        <v>HSW</v>
      </c>
      <c r="AQ16" s="97">
        <v>3650</v>
      </c>
      <c r="AR16" s="757">
        <v>15</v>
      </c>
      <c r="AS16" s="97">
        <v>17231</v>
      </c>
      <c r="AT16" s="94">
        <f t="shared" si="5"/>
        <v>578618.64</v>
      </c>
      <c r="AU16" s="95">
        <f t="shared" si="6"/>
        <v>960.612346</v>
      </c>
      <c r="AV16" s="98">
        <f t="shared" si="7"/>
        <v>158.52565479452056</v>
      </c>
      <c r="AW16" s="98">
        <f t="shared" si="8"/>
        <v>38574.576000000001</v>
      </c>
      <c r="AX16" s="98">
        <f t="shared" si="9"/>
        <v>33.580096337995471</v>
      </c>
      <c r="AY16" s="98">
        <f t="shared" si="10"/>
        <v>0.26318146465753423</v>
      </c>
      <c r="AZ16" s="98">
        <f t="shared" si="11"/>
        <v>64.040823066666661</v>
      </c>
      <c r="BA16" s="99">
        <f t="shared" si="12"/>
        <v>5.5749077012361439E-2</v>
      </c>
      <c r="BB16" s="100"/>
      <c r="BC16" s="90"/>
      <c r="BD16" s="90"/>
      <c r="BE16" s="90"/>
      <c r="BF16" s="90"/>
      <c r="BG16" s="90"/>
      <c r="BH16" s="90"/>
      <c r="BI16" s="90"/>
      <c r="BJ16" s="90"/>
    </row>
    <row r="17" spans="1:62" s="101" customFormat="1">
      <c r="A17" s="793"/>
      <c r="B17" s="713" t="s">
        <v>217</v>
      </c>
      <c r="C17" s="726" t="s">
        <v>218</v>
      </c>
      <c r="D17" s="709">
        <v>27847</v>
      </c>
      <c r="E17" s="94">
        <v>19452.07</v>
      </c>
      <c r="F17" s="784">
        <f t="shared" si="1"/>
        <v>0.69853377383560167</v>
      </c>
      <c r="G17" s="95">
        <f>D17*(HLOOKUP(Ogolne!$D$6,'Wskazniki emisji elektrycznosc'!$B$8:$G$29,Ogolne!$E$7,TRUE))/1000</f>
        <v>27.345753999999999</v>
      </c>
      <c r="H17" s="93"/>
      <c r="I17" s="94"/>
      <c r="J17" s="784" t="str">
        <f t="shared" si="2"/>
        <v/>
      </c>
      <c r="K17" s="95">
        <f>H17*'Wskazniki emisji paliw'!M$26</f>
        <v>0</v>
      </c>
      <c r="L17" s="93"/>
      <c r="M17" s="94"/>
      <c r="N17" s="95">
        <f>L17*'Wskazniki emisji paliw'!M$27</f>
        <v>0</v>
      </c>
      <c r="O17" s="93"/>
      <c r="P17" s="94"/>
      <c r="Q17" s="95">
        <f>O17*'Wskazniki emisji paliw'!L$17</f>
        <v>0</v>
      </c>
      <c r="R17" s="93"/>
      <c r="S17" s="94"/>
      <c r="T17" s="95">
        <f>R17*'Wskazniki emisji paliw'!L$18</f>
        <v>0</v>
      </c>
      <c r="U17" s="93">
        <v>23</v>
      </c>
      <c r="V17" s="94">
        <v>8345</v>
      </c>
      <c r="W17" s="95">
        <f>U17*'Wskazniki emisji paliw'!N$10</f>
        <v>55.087759999999996</v>
      </c>
      <c r="X17" s="93"/>
      <c r="Y17" s="94"/>
      <c r="Z17" s="95">
        <f>X17*'Wskazniki emisji paliw'!N$11</f>
        <v>0</v>
      </c>
      <c r="AA17" s="93"/>
      <c r="AB17" s="94"/>
      <c r="AC17" s="95">
        <f>AA17*'Wskazniki emisji paliw'!L$21</f>
        <v>0</v>
      </c>
      <c r="AD17" s="93"/>
      <c r="AE17" s="94"/>
      <c r="AF17" s="95">
        <f>AD17*'Wskazniki emisji paliw'!L$20</f>
        <v>0</v>
      </c>
      <c r="AG17" s="93"/>
      <c r="AH17" s="94"/>
      <c r="AI17" s="95">
        <f>AG17*'Wskazniki emisji paliw'!N$13</f>
        <v>0</v>
      </c>
      <c r="AJ17" s="93"/>
      <c r="AK17" s="94"/>
      <c r="AL17" s="777" t="str">
        <f t="shared" si="3"/>
        <v/>
      </c>
      <c r="AM17" s="96">
        <f>AJ17*'Wskazniki emisji paliw'!K$35</f>
        <v>0</v>
      </c>
      <c r="AN17" s="5"/>
      <c r="AO17" s="91" t="str">
        <f t="shared" si="4"/>
        <v xml:space="preserve">Izba Wytrzeźwień w Bydgoszczy </v>
      </c>
      <c r="AP17" s="91" t="str">
        <f t="shared" si="0"/>
        <v>IW</v>
      </c>
      <c r="AQ17" s="97">
        <v>8640</v>
      </c>
      <c r="AR17" s="97">
        <v>43</v>
      </c>
      <c r="AS17" s="97">
        <v>1500</v>
      </c>
      <c r="AT17" s="94">
        <f t="shared" si="5"/>
        <v>27797.07</v>
      </c>
      <c r="AU17" s="95">
        <f t="shared" si="6"/>
        <v>82.433514000000002</v>
      </c>
      <c r="AV17" s="98">
        <f t="shared" si="7"/>
        <v>3.2172534722222221</v>
      </c>
      <c r="AW17" s="98">
        <f t="shared" si="8"/>
        <v>646.44348837209304</v>
      </c>
      <c r="AX17" s="98">
        <f t="shared" si="9"/>
        <v>18.531379999999999</v>
      </c>
      <c r="AY17" s="98">
        <f t="shared" si="10"/>
        <v>9.5409159722222216E-3</v>
      </c>
      <c r="AZ17" s="98">
        <f t="shared" si="11"/>
        <v>1.9170584651162792</v>
      </c>
      <c r="BA17" s="99">
        <f t="shared" si="12"/>
        <v>5.4955676000000002E-2</v>
      </c>
      <c r="BB17" s="100"/>
      <c r="BC17" s="90"/>
      <c r="BD17" s="90"/>
      <c r="BE17" s="90"/>
      <c r="BF17" s="90"/>
      <c r="BG17" s="90"/>
      <c r="BH17" s="90"/>
      <c r="BI17" s="90"/>
      <c r="BJ17" s="90"/>
    </row>
    <row r="18" spans="1:62" s="101" customFormat="1">
      <c r="A18" s="793"/>
      <c r="B18" s="732" t="s">
        <v>242</v>
      </c>
      <c r="C18" s="733" t="s">
        <v>189</v>
      </c>
      <c r="D18" s="709">
        <v>10105844</v>
      </c>
      <c r="E18" s="94">
        <v>1470872.87</v>
      </c>
      <c r="F18" s="784">
        <f t="shared" si="1"/>
        <v>0.14554676185383428</v>
      </c>
      <c r="G18" s="95">
        <f>D18*(HLOOKUP(Ogolne!$D$6,'Wskazniki emisji elektrycznosc'!$B$8:$G$29,Ogolne!$E$7,TRUE))/1000</f>
        <v>9923.9388080000008</v>
      </c>
      <c r="H18" s="93"/>
      <c r="I18" s="94"/>
      <c r="J18" s="784" t="str">
        <f t="shared" si="2"/>
        <v/>
      </c>
      <c r="K18" s="95">
        <f>H18*'Wskazniki emisji paliw'!M$26</f>
        <v>0</v>
      </c>
      <c r="L18" s="93"/>
      <c r="M18" s="94"/>
      <c r="N18" s="95">
        <f>L18*'Wskazniki emisji paliw'!M$27</f>
        <v>0</v>
      </c>
      <c r="O18" s="93"/>
      <c r="P18" s="94"/>
      <c r="Q18" s="95">
        <f>O18*'Wskazniki emisji paliw'!L$17</f>
        <v>0</v>
      </c>
      <c r="R18" s="93"/>
      <c r="S18" s="94"/>
      <c r="T18" s="95">
        <f>R18*'Wskazniki emisji paliw'!L$18</f>
        <v>0</v>
      </c>
      <c r="U18" s="93"/>
      <c r="V18" s="94"/>
      <c r="W18" s="95">
        <f>U18*'Wskazniki emisji paliw'!N$10</f>
        <v>0</v>
      </c>
      <c r="X18" s="93"/>
      <c r="Y18" s="94"/>
      <c r="Z18" s="95">
        <f>X18*'Wskazniki emisji paliw'!N$11</f>
        <v>0</v>
      </c>
      <c r="AA18" s="93"/>
      <c r="AB18" s="94"/>
      <c r="AC18" s="95">
        <f>AA18*'Wskazniki emisji paliw'!L$21</f>
        <v>0</v>
      </c>
      <c r="AD18" s="93"/>
      <c r="AE18" s="94"/>
      <c r="AF18" s="95">
        <f>AD18*'Wskazniki emisji paliw'!L$20</f>
        <v>0</v>
      </c>
      <c r="AG18" s="93"/>
      <c r="AH18" s="94"/>
      <c r="AI18" s="95">
        <f>AG18*'Wskazniki emisji paliw'!N$13</f>
        <v>0</v>
      </c>
      <c r="AJ18" s="93">
        <v>4621.59</v>
      </c>
      <c r="AK18" s="94">
        <v>836486.73</v>
      </c>
      <c r="AL18" s="777">
        <f t="shared" si="3"/>
        <v>180.99544312671611</v>
      </c>
      <c r="AM18" s="96">
        <f>AJ18*'Wskazniki emisji paliw'!K$35</f>
        <v>1497.39516</v>
      </c>
      <c r="AN18" s="5"/>
      <c r="AO18" s="91" t="str">
        <f t="shared" si="4"/>
        <v>Komunalne Przedsiębiorstwo Energetyki Cieplnej Sp. z o.o.</v>
      </c>
      <c r="AP18" s="91" t="str">
        <f t="shared" si="0"/>
        <v>KPEC</v>
      </c>
      <c r="AQ18" s="97">
        <v>208248</v>
      </c>
      <c r="AR18" s="97">
        <v>564</v>
      </c>
      <c r="AS18" s="97">
        <v>22900.38</v>
      </c>
      <c r="AT18" s="94">
        <f t="shared" si="5"/>
        <v>2307359.6</v>
      </c>
      <c r="AU18" s="95">
        <f t="shared" si="6"/>
        <v>11421.333968000001</v>
      </c>
      <c r="AV18" s="98">
        <f t="shared" si="7"/>
        <v>11.07986439245515</v>
      </c>
      <c r="AW18" s="98">
        <f t="shared" si="8"/>
        <v>4091.0631205673762</v>
      </c>
      <c r="AX18" s="98">
        <f t="shared" si="9"/>
        <v>100.75638919528846</v>
      </c>
      <c r="AY18" s="98">
        <f t="shared" si="10"/>
        <v>5.4844867504129695E-2</v>
      </c>
      <c r="AZ18" s="98">
        <f t="shared" si="11"/>
        <v>20.250592141843974</v>
      </c>
      <c r="BA18" s="99">
        <f t="shared" si="12"/>
        <v>0.49873993217579798</v>
      </c>
      <c r="BB18" s="100"/>
      <c r="BC18" s="90"/>
      <c r="BD18" s="90"/>
      <c r="BE18" s="90"/>
      <c r="BF18" s="90"/>
      <c r="BG18" s="90"/>
      <c r="BH18" s="90"/>
      <c r="BI18" s="90"/>
      <c r="BJ18" s="90"/>
    </row>
    <row r="19" spans="1:62" s="101" customFormat="1">
      <c r="A19" s="793"/>
      <c r="B19" s="713" t="s">
        <v>243</v>
      </c>
      <c r="C19" s="726" t="s">
        <v>190</v>
      </c>
      <c r="D19" s="709">
        <v>400940</v>
      </c>
      <c r="E19" s="94">
        <v>184113.87</v>
      </c>
      <c r="F19" s="784">
        <f t="shared" si="1"/>
        <v>0.45920554197635555</v>
      </c>
      <c r="G19" s="95">
        <f>D19*(HLOOKUP(Ogolne!$D$6,'Wskazniki emisji elektrycznosc'!$B$8:$G$29,Ogolne!$E$7,TRUE))/1000</f>
        <v>393.72308000000004</v>
      </c>
      <c r="H19" s="93"/>
      <c r="I19" s="94"/>
      <c r="J19" s="784" t="str">
        <f t="shared" si="2"/>
        <v/>
      </c>
      <c r="K19" s="95">
        <f>H19*'Wskazniki emisji paliw'!M$26</f>
        <v>0</v>
      </c>
      <c r="L19" s="93"/>
      <c r="M19" s="94"/>
      <c r="N19" s="95">
        <f>L19*'Wskazniki emisji paliw'!M$27</f>
        <v>0</v>
      </c>
      <c r="O19" s="93">
        <v>11000</v>
      </c>
      <c r="P19" s="94"/>
      <c r="Q19" s="95">
        <f>O19*'Wskazniki emisji paliw'!L$17</f>
        <v>30.47370579</v>
      </c>
      <c r="R19" s="93"/>
      <c r="S19" s="94"/>
      <c r="T19" s="95">
        <f>R19*'Wskazniki emisji paliw'!L$18</f>
        <v>0</v>
      </c>
      <c r="U19" s="93"/>
      <c r="V19" s="94"/>
      <c r="W19" s="95">
        <f>U19*'Wskazniki emisji paliw'!N$10</f>
        <v>0</v>
      </c>
      <c r="X19" s="93"/>
      <c r="Y19" s="94"/>
      <c r="Z19" s="95">
        <f>X19*'Wskazniki emisji paliw'!N$11</f>
        <v>0</v>
      </c>
      <c r="AA19" s="93"/>
      <c r="AB19" s="94"/>
      <c r="AC19" s="95">
        <f>AA19*'Wskazniki emisji paliw'!L$21</f>
        <v>0</v>
      </c>
      <c r="AD19" s="93"/>
      <c r="AE19" s="94"/>
      <c r="AF19" s="95">
        <f>AD19*'Wskazniki emisji paliw'!L$20</f>
        <v>0</v>
      </c>
      <c r="AG19" s="93"/>
      <c r="AH19" s="94"/>
      <c r="AI19" s="95">
        <f>AG19*'Wskazniki emisji paliw'!N$13</f>
        <v>0</v>
      </c>
      <c r="AJ19" s="93">
        <v>396.39</v>
      </c>
      <c r="AK19" s="94">
        <v>37312.14</v>
      </c>
      <c r="AL19" s="777">
        <f t="shared" si="3"/>
        <v>94.129872095663359</v>
      </c>
      <c r="AM19" s="96">
        <f>AJ19*'Wskazniki emisji paliw'!K$35</f>
        <v>128.43036000000001</v>
      </c>
      <c r="AN19" s="5"/>
      <c r="AO19" s="91" t="str">
        <f t="shared" si="4"/>
        <v>Leśny Park Kultury i Wypoczynku "Myślęcinek" Sp. z o.o.</v>
      </c>
      <c r="AP19" s="91" t="str">
        <f t="shared" si="0"/>
        <v>LPKIW</v>
      </c>
      <c r="AQ19" s="753"/>
      <c r="AR19" s="753"/>
      <c r="AS19" s="753"/>
      <c r="AT19" s="94">
        <f t="shared" si="5"/>
        <v>221426.01</v>
      </c>
      <c r="AU19" s="95">
        <f t="shared" si="6"/>
        <v>552.62714578999999</v>
      </c>
      <c r="AV19" s="98" t="str">
        <f t="shared" si="7"/>
        <v/>
      </c>
      <c r="AW19" s="98" t="str">
        <f t="shared" si="8"/>
        <v/>
      </c>
      <c r="AX19" s="98" t="str">
        <f t="shared" si="9"/>
        <v/>
      </c>
      <c r="AY19" s="98" t="str">
        <f t="shared" si="10"/>
        <v/>
      </c>
      <c r="AZ19" s="98" t="str">
        <f t="shared" si="11"/>
        <v/>
      </c>
      <c r="BA19" s="99" t="str">
        <f t="shared" si="12"/>
        <v/>
      </c>
      <c r="BB19" s="100" t="s">
        <v>284</v>
      </c>
      <c r="BC19" s="90"/>
      <c r="BD19" s="90"/>
      <c r="BE19" s="90"/>
      <c r="BF19" s="90"/>
      <c r="BG19" s="90"/>
      <c r="BH19" s="90"/>
      <c r="BI19" s="90"/>
      <c r="BJ19" s="90"/>
    </row>
    <row r="20" spans="1:62" s="101" customFormat="1" ht="22.5">
      <c r="A20" s="793"/>
      <c r="B20" s="713" t="s">
        <v>298</v>
      </c>
      <c r="C20" s="726" t="s">
        <v>299</v>
      </c>
      <c r="D20" s="709">
        <v>215664</v>
      </c>
      <c r="E20" s="94">
        <v>89314.96</v>
      </c>
      <c r="F20" s="784">
        <f t="shared" si="1"/>
        <v>0.41413940203279176</v>
      </c>
      <c r="G20" s="95">
        <f>D20*(HLOOKUP(Ogolne!$D$6,'Wskazniki emisji elektrycznosc'!$B$8:$G$29,Ogolne!$E$7,TRUE))/1000</f>
        <v>211.782048</v>
      </c>
      <c r="H20" s="93"/>
      <c r="I20" s="94"/>
      <c r="J20" s="784" t="str">
        <f t="shared" si="2"/>
        <v/>
      </c>
      <c r="K20" s="95">
        <f>H20*'Wskazniki emisji paliw'!M$26</f>
        <v>0</v>
      </c>
      <c r="L20" s="93"/>
      <c r="M20" s="94"/>
      <c r="N20" s="95">
        <f>L20*'Wskazniki emisji paliw'!M$27</f>
        <v>0</v>
      </c>
      <c r="O20" s="93"/>
      <c r="P20" s="94"/>
      <c r="Q20" s="95">
        <f>O20*'Wskazniki emisji paliw'!L$17</f>
        <v>0</v>
      </c>
      <c r="R20" s="93"/>
      <c r="S20" s="94"/>
      <c r="T20" s="95">
        <f>R20*'Wskazniki emisji paliw'!L$18</f>
        <v>0</v>
      </c>
      <c r="U20" s="93"/>
      <c r="V20" s="94"/>
      <c r="W20" s="95">
        <f>U20*'Wskazniki emisji paliw'!N$10</f>
        <v>0</v>
      </c>
      <c r="X20" s="93"/>
      <c r="Y20" s="94"/>
      <c r="Z20" s="95">
        <f>X20*'Wskazniki emisji paliw'!N$11</f>
        <v>0</v>
      </c>
      <c r="AA20" s="93"/>
      <c r="AB20" s="94"/>
      <c r="AC20" s="95">
        <f>AA20*'Wskazniki emisji paliw'!L$21</f>
        <v>0</v>
      </c>
      <c r="AD20" s="93"/>
      <c r="AE20" s="94"/>
      <c r="AF20" s="95">
        <f>AD20*'Wskazniki emisji paliw'!L$20</f>
        <v>0</v>
      </c>
      <c r="AG20" s="93"/>
      <c r="AH20" s="94"/>
      <c r="AI20" s="95">
        <f>AG20*'Wskazniki emisji paliw'!N$13</f>
        <v>0</v>
      </c>
      <c r="AJ20" s="93">
        <v>499</v>
      </c>
      <c r="AK20" s="94">
        <v>100867</v>
      </c>
      <c r="AL20" s="777">
        <f t="shared" si="3"/>
        <v>202.13827655310621</v>
      </c>
      <c r="AM20" s="96">
        <f>AJ20*'Wskazniki emisji paliw'!K$35</f>
        <v>161.67600000000002</v>
      </c>
      <c r="AN20" s="82"/>
      <c r="AO20" s="91" t="str">
        <f t="shared" si="4"/>
        <v xml:space="preserve">Bydgoski Klub Sportowy Chemik </v>
      </c>
      <c r="AP20" s="91" t="str">
        <f t="shared" si="0"/>
        <v>BKSC</v>
      </c>
      <c r="AQ20" s="97">
        <v>17520</v>
      </c>
      <c r="AR20" s="97">
        <v>998</v>
      </c>
      <c r="AS20" s="97">
        <v>92662.5</v>
      </c>
      <c r="AT20" s="94">
        <f t="shared" si="5"/>
        <v>190181.96000000002</v>
      </c>
      <c r="AU20" s="95">
        <f t="shared" si="6"/>
        <v>373.45804800000002</v>
      </c>
      <c r="AV20" s="98">
        <f t="shared" si="7"/>
        <v>10.855134703196349</v>
      </c>
      <c r="AW20" s="98">
        <f t="shared" si="8"/>
        <v>190.5630861723447</v>
      </c>
      <c r="AX20" s="98">
        <f t="shared" si="9"/>
        <v>2.0524155942263591</v>
      </c>
      <c r="AY20" s="98">
        <f t="shared" si="10"/>
        <v>2.1316098630136986E-2</v>
      </c>
      <c r="AZ20" s="98">
        <f t="shared" si="11"/>
        <v>0.37420646092184373</v>
      </c>
      <c r="BA20" s="99">
        <f t="shared" si="12"/>
        <v>4.0303040388506677E-3</v>
      </c>
      <c r="BB20" s="100" t="s">
        <v>304</v>
      </c>
      <c r="BC20" s="90"/>
      <c r="BD20" s="90"/>
      <c r="BE20" s="90"/>
      <c r="BF20" s="90"/>
      <c r="BG20" s="90"/>
      <c r="BH20" s="90"/>
      <c r="BI20" s="90"/>
      <c r="BJ20" s="90"/>
    </row>
    <row r="21" spans="1:62" s="101" customFormat="1">
      <c r="A21" s="793"/>
      <c r="B21" s="713" t="s">
        <v>244</v>
      </c>
      <c r="C21" s="726" t="s">
        <v>191</v>
      </c>
      <c r="D21" s="754"/>
      <c r="E21" s="755"/>
      <c r="F21" s="784" t="str">
        <f t="shared" si="1"/>
        <v/>
      </c>
      <c r="G21" s="95">
        <f>D21*(HLOOKUP(Ogolne!$D$6,'Wskazniki emisji elektrycznosc'!$B$8:$G$29,Ogolne!$E$7,TRUE))/1000</f>
        <v>0</v>
      </c>
      <c r="H21" s="93"/>
      <c r="I21" s="94"/>
      <c r="J21" s="784" t="str">
        <f t="shared" si="2"/>
        <v/>
      </c>
      <c r="K21" s="95">
        <f>H21*'Wskazniki emisji paliw'!M$26</f>
        <v>0</v>
      </c>
      <c r="L21" s="93"/>
      <c r="M21" s="94"/>
      <c r="N21" s="95">
        <f>L21*'Wskazniki emisji paliw'!M$27</f>
        <v>0</v>
      </c>
      <c r="O21" s="93"/>
      <c r="P21" s="94"/>
      <c r="Q21" s="95">
        <f>O21*'Wskazniki emisji paliw'!L$17</f>
        <v>0</v>
      </c>
      <c r="R21" s="93"/>
      <c r="S21" s="94"/>
      <c r="T21" s="95">
        <f>R21*'Wskazniki emisji paliw'!L$18</f>
        <v>0</v>
      </c>
      <c r="U21" s="93"/>
      <c r="V21" s="94"/>
      <c r="W21" s="95">
        <f>U21*'Wskazniki emisji paliw'!N$10</f>
        <v>0</v>
      </c>
      <c r="X21" s="93"/>
      <c r="Y21" s="94"/>
      <c r="Z21" s="95">
        <f>X21*'Wskazniki emisji paliw'!N$11</f>
        <v>0</v>
      </c>
      <c r="AA21" s="93"/>
      <c r="AB21" s="94"/>
      <c r="AC21" s="95">
        <f>AA21*'Wskazniki emisji paliw'!L$21</f>
        <v>0</v>
      </c>
      <c r="AD21" s="93"/>
      <c r="AE21" s="94"/>
      <c r="AF21" s="95">
        <f>AD21*'Wskazniki emisji paliw'!L$20</f>
        <v>0</v>
      </c>
      <c r="AG21" s="93"/>
      <c r="AH21" s="94"/>
      <c r="AI21" s="95">
        <f>AG21*'Wskazniki emisji paliw'!N$13</f>
        <v>0</v>
      </c>
      <c r="AJ21" s="93"/>
      <c r="AK21" s="94"/>
      <c r="AL21" s="777" t="str">
        <f t="shared" si="3"/>
        <v/>
      </c>
      <c r="AM21" s="96">
        <f>AJ21*'Wskazniki emisji paliw'!K$35</f>
        <v>0</v>
      </c>
      <c r="AN21" s="5"/>
      <c r="AO21" s="91" t="str">
        <f t="shared" si="4"/>
        <v>Miejska Pracownia Geodezyjna w Bydgoszczy</v>
      </c>
      <c r="AP21" s="91" t="str">
        <f t="shared" si="0"/>
        <v>MPG</v>
      </c>
      <c r="AQ21" s="753"/>
      <c r="AR21" s="753"/>
      <c r="AS21" s="753"/>
      <c r="AT21" s="94">
        <f t="shared" si="5"/>
        <v>0</v>
      </c>
      <c r="AU21" s="95">
        <f t="shared" si="6"/>
        <v>0</v>
      </c>
      <c r="AV21" s="98" t="str">
        <f t="shared" si="7"/>
        <v/>
      </c>
      <c r="AW21" s="98" t="str">
        <f t="shared" si="8"/>
        <v/>
      </c>
      <c r="AX21" s="98" t="str">
        <f t="shared" si="9"/>
        <v/>
      </c>
      <c r="AY21" s="98" t="str">
        <f t="shared" si="10"/>
        <v/>
      </c>
      <c r="AZ21" s="98" t="str">
        <f t="shared" si="11"/>
        <v/>
      </c>
      <c r="BA21" s="99" t="str">
        <f t="shared" si="12"/>
        <v/>
      </c>
      <c r="BB21" s="100" t="s">
        <v>287</v>
      </c>
      <c r="BC21" s="90"/>
      <c r="BD21" s="90"/>
      <c r="BE21" s="90"/>
      <c r="BF21" s="90"/>
      <c r="BG21" s="90"/>
      <c r="BH21" s="90"/>
      <c r="BI21" s="90"/>
      <c r="BJ21" s="90"/>
    </row>
    <row r="22" spans="1:62" s="101" customFormat="1">
      <c r="A22" s="793"/>
      <c r="B22" s="713" t="s">
        <v>245</v>
      </c>
      <c r="C22" s="726" t="s">
        <v>192</v>
      </c>
      <c r="D22" s="709">
        <v>45608</v>
      </c>
      <c r="E22" s="94">
        <v>19390.55</v>
      </c>
      <c r="F22" s="784">
        <f t="shared" si="1"/>
        <v>0.42515677074197505</v>
      </c>
      <c r="G22" s="95">
        <f>D22*(HLOOKUP(Ogolne!$D$6,'Wskazniki emisji elektrycznosc'!$B$8:$G$29,Ogolne!$E$7,TRUE))/1000</f>
        <v>44.787056</v>
      </c>
      <c r="H22" s="93"/>
      <c r="I22" s="94"/>
      <c r="J22" s="784" t="str">
        <f t="shared" si="2"/>
        <v/>
      </c>
      <c r="K22" s="95">
        <f>H22*'Wskazniki emisji paliw'!M$26</f>
        <v>0</v>
      </c>
      <c r="L22" s="93"/>
      <c r="M22" s="94"/>
      <c r="N22" s="95">
        <f>L22*'Wskazniki emisji paliw'!M$27</f>
        <v>0</v>
      </c>
      <c r="O22" s="93"/>
      <c r="P22" s="94"/>
      <c r="Q22" s="95">
        <f>O22*'Wskazniki emisji paliw'!L$17</f>
        <v>0</v>
      </c>
      <c r="R22" s="93"/>
      <c r="S22" s="94"/>
      <c r="T22" s="95">
        <f>R22*'Wskazniki emisji paliw'!L$18</f>
        <v>0</v>
      </c>
      <c r="U22" s="93"/>
      <c r="V22" s="94"/>
      <c r="W22" s="95">
        <f>U22*'Wskazniki emisji paliw'!N$10</f>
        <v>0</v>
      </c>
      <c r="X22" s="93"/>
      <c r="Y22" s="94"/>
      <c r="Z22" s="95">
        <f>X22*'Wskazniki emisji paliw'!N$11</f>
        <v>0</v>
      </c>
      <c r="AA22" s="93"/>
      <c r="AB22" s="94"/>
      <c r="AC22" s="95">
        <f>AA22*'Wskazniki emisji paliw'!L$21</f>
        <v>0</v>
      </c>
      <c r="AD22" s="93"/>
      <c r="AE22" s="94"/>
      <c r="AF22" s="95">
        <f>AD22*'Wskazniki emisji paliw'!L$20</f>
        <v>0</v>
      </c>
      <c r="AG22" s="93"/>
      <c r="AH22" s="94"/>
      <c r="AI22" s="95">
        <f>AG22*'Wskazniki emisji paliw'!N$13</f>
        <v>0</v>
      </c>
      <c r="AJ22" s="93">
        <v>121.94444444444444</v>
      </c>
      <c r="AK22" s="94">
        <v>8223.67</v>
      </c>
      <c r="AL22" s="777">
        <f t="shared" si="3"/>
        <v>67.437840546697046</v>
      </c>
      <c r="AM22" s="96">
        <f>AJ22*'Wskazniki emisji paliw'!K$35</f>
        <v>39.51</v>
      </c>
      <c r="AN22" s="5"/>
      <c r="AO22" s="91" t="str">
        <f t="shared" si="4"/>
        <v>Miejski Ośrodek Kultury w Bydgoszczy</v>
      </c>
      <c r="AP22" s="91" t="str">
        <f t="shared" si="0"/>
        <v>MOK</v>
      </c>
      <c r="AQ22" s="97">
        <v>5840</v>
      </c>
      <c r="AR22" s="97">
        <v>24</v>
      </c>
      <c r="AS22" s="97">
        <v>732.93</v>
      </c>
      <c r="AT22" s="94">
        <f t="shared" si="5"/>
        <v>27614.22</v>
      </c>
      <c r="AU22" s="95">
        <f t="shared" si="6"/>
        <v>84.297055999999998</v>
      </c>
      <c r="AV22" s="98">
        <f t="shared" si="7"/>
        <v>4.7284623287671232</v>
      </c>
      <c r="AW22" s="98">
        <f t="shared" si="8"/>
        <v>1150.5925</v>
      </c>
      <c r="AX22" s="98">
        <f t="shared" si="9"/>
        <v>37.676476607588725</v>
      </c>
      <c r="AY22" s="98">
        <f t="shared" si="10"/>
        <v>1.4434427397260273E-2</v>
      </c>
      <c r="AZ22" s="98">
        <f t="shared" si="11"/>
        <v>3.5123773333333332</v>
      </c>
      <c r="BA22" s="99">
        <f t="shared" si="12"/>
        <v>0.11501378849276193</v>
      </c>
      <c r="BB22" s="100"/>
      <c r="BC22" s="90"/>
      <c r="BD22" s="90"/>
      <c r="BE22" s="90"/>
      <c r="BF22" s="90"/>
      <c r="BG22" s="90"/>
      <c r="BH22" s="90"/>
      <c r="BI22" s="90"/>
      <c r="BJ22" s="90"/>
    </row>
    <row r="23" spans="1:62" s="101" customFormat="1">
      <c r="A23" s="793"/>
      <c r="B23" s="713" t="s">
        <v>221</v>
      </c>
      <c r="C23" s="726" t="s">
        <v>193</v>
      </c>
      <c r="D23" s="709">
        <v>129965</v>
      </c>
      <c r="E23" s="94">
        <v>53579.71</v>
      </c>
      <c r="F23" s="784">
        <f t="shared" si="1"/>
        <v>0.4122626091640057</v>
      </c>
      <c r="G23" s="95">
        <f>D23*(HLOOKUP(Ogolne!$D$6,'Wskazniki emisji elektrycznosc'!$B$8:$G$29,Ogolne!$E$7,TRUE))/1000</f>
        <v>127.62563</v>
      </c>
      <c r="H23" s="93">
        <v>47433</v>
      </c>
      <c r="I23" s="94">
        <v>57148.59</v>
      </c>
      <c r="J23" s="784">
        <f t="shared" si="2"/>
        <v>1.2048276516349377</v>
      </c>
      <c r="K23" s="95">
        <f>H23*'Wskazniki emisji paliw'!M$26</f>
        <v>343.99832984880129</v>
      </c>
      <c r="L23" s="93"/>
      <c r="M23" s="94"/>
      <c r="N23" s="95">
        <f>L23*'Wskazniki emisji paliw'!M$27</f>
        <v>0</v>
      </c>
      <c r="O23" s="93"/>
      <c r="P23" s="94"/>
      <c r="Q23" s="95">
        <f>O23*'Wskazniki emisji paliw'!L$17</f>
        <v>0</v>
      </c>
      <c r="R23" s="93"/>
      <c r="S23" s="94"/>
      <c r="T23" s="95">
        <f>R23*'Wskazniki emisji paliw'!L$18</f>
        <v>0</v>
      </c>
      <c r="U23" s="93">
        <v>13.2</v>
      </c>
      <c r="V23" s="94">
        <v>3241</v>
      </c>
      <c r="W23" s="95">
        <f>U23*'Wskazniki emisji paliw'!N$10</f>
        <v>31.615583999999998</v>
      </c>
      <c r="X23" s="93"/>
      <c r="Y23" s="94"/>
      <c r="Z23" s="95">
        <f>X23*'Wskazniki emisji paliw'!N$11</f>
        <v>0</v>
      </c>
      <c r="AA23" s="93"/>
      <c r="AB23" s="94"/>
      <c r="AC23" s="95">
        <f>AA23*'Wskazniki emisji paliw'!L$21</f>
        <v>0</v>
      </c>
      <c r="AD23" s="93"/>
      <c r="AE23" s="94"/>
      <c r="AF23" s="95">
        <f>AD23*'Wskazniki emisji paliw'!L$20</f>
        <v>0</v>
      </c>
      <c r="AG23" s="93"/>
      <c r="AH23" s="94"/>
      <c r="AI23" s="95">
        <f>AG23*'Wskazniki emisji paliw'!N$13</f>
        <v>0</v>
      </c>
      <c r="AJ23" s="93">
        <v>1621</v>
      </c>
      <c r="AK23" s="94">
        <f>110213+198982</f>
        <v>309195</v>
      </c>
      <c r="AL23" s="777">
        <f t="shared" si="3"/>
        <v>190.74336829117829</v>
      </c>
      <c r="AM23" s="96">
        <f>AJ23*'Wskazniki emisji paliw'!K$35</f>
        <v>525.20400000000006</v>
      </c>
      <c r="AN23" s="5"/>
      <c r="AO23" s="91" t="str">
        <f t="shared" ref="AO23:AO40" si="13">B23</f>
        <v>Miejski Ośrodek Pomocy Społecznej - DPS i Domy Dziecka</v>
      </c>
      <c r="AP23" s="91" t="str">
        <f t="shared" ref="AP23:AP40" si="14">C23</f>
        <v>MOPS</v>
      </c>
      <c r="AQ23" s="97">
        <v>61320</v>
      </c>
      <c r="AR23" s="97">
        <v>540</v>
      </c>
      <c r="AS23" s="97">
        <v>12374.63</v>
      </c>
      <c r="AT23" s="94">
        <f t="shared" ref="AT23:AT40" si="15">E23+I23+M23+P23+S23+V23+Y23+AB23+AE23+AH23+AK23</f>
        <v>423164.3</v>
      </c>
      <c r="AU23" s="95">
        <f t="shared" ref="AU23:AU40" si="16">G23+K23+N23+Q23+T23+W23+Z23+AC23+AF23+AI23+AM23</f>
        <v>1028.4435438488013</v>
      </c>
      <c r="AV23" s="98">
        <f t="shared" si="7"/>
        <v>6.9009181343770383</v>
      </c>
      <c r="AW23" s="98">
        <f t="shared" si="8"/>
        <v>783.63759259259257</v>
      </c>
      <c r="AX23" s="98">
        <f t="shared" si="9"/>
        <v>34.196117378863043</v>
      </c>
      <c r="AY23" s="98">
        <f t="shared" si="10"/>
        <v>1.6771747290424025E-2</v>
      </c>
      <c r="AZ23" s="98">
        <f t="shared" si="11"/>
        <v>1.9045250812014838</v>
      </c>
      <c r="BA23" s="99">
        <f t="shared" si="12"/>
        <v>8.310903387404725E-2</v>
      </c>
      <c r="BB23" s="100" t="s">
        <v>233</v>
      </c>
      <c r="BC23" s="90"/>
      <c r="BD23" s="90"/>
      <c r="BE23" s="90"/>
      <c r="BF23" s="90"/>
      <c r="BG23" s="90"/>
      <c r="BH23" s="90"/>
      <c r="BI23" s="90"/>
      <c r="BJ23" s="90"/>
    </row>
    <row r="24" spans="1:62" s="101" customFormat="1">
      <c r="A24" s="793"/>
      <c r="B24" s="713" t="s">
        <v>220</v>
      </c>
      <c r="C24" s="726" t="s">
        <v>193</v>
      </c>
      <c r="D24" s="709">
        <v>547961</v>
      </c>
      <c r="E24" s="94">
        <v>213030.24</v>
      </c>
      <c r="F24" s="784">
        <f t="shared" si="1"/>
        <v>0.38876898173410152</v>
      </c>
      <c r="G24" s="95">
        <f>D24*(HLOOKUP(Ogolne!$D$6,'Wskazniki emisji elektrycznosc'!$B$8:$G$29,Ogolne!$E$7,TRUE))/1000</f>
        <v>538.09770200000003</v>
      </c>
      <c r="H24" s="93"/>
      <c r="I24" s="94"/>
      <c r="J24" s="784" t="str">
        <f t="shared" si="2"/>
        <v/>
      </c>
      <c r="K24" s="95">
        <f>H24*'Wskazniki emisji paliw'!M$26</f>
        <v>0</v>
      </c>
      <c r="L24" s="93"/>
      <c r="M24" s="94"/>
      <c r="N24" s="95">
        <f>L24*'Wskazniki emisji paliw'!M$27</f>
        <v>0</v>
      </c>
      <c r="O24" s="93">
        <v>20501</v>
      </c>
      <c r="P24" s="94">
        <v>41131.89</v>
      </c>
      <c r="Q24" s="95">
        <f>O24*'Wskazniki emisji paliw'!L$17</f>
        <v>56.794676581889995</v>
      </c>
      <c r="R24" s="93"/>
      <c r="S24" s="94"/>
      <c r="T24" s="95">
        <f>R24*'Wskazniki emisji paliw'!L$18</f>
        <v>0</v>
      </c>
      <c r="U24" s="93"/>
      <c r="V24" s="94"/>
      <c r="W24" s="95">
        <f>U24*'Wskazniki emisji paliw'!N$10</f>
        <v>0</v>
      </c>
      <c r="X24" s="93"/>
      <c r="Y24" s="94"/>
      <c r="Z24" s="95">
        <f>X24*'Wskazniki emisji paliw'!N$11</f>
        <v>0</v>
      </c>
      <c r="AA24" s="93"/>
      <c r="AB24" s="94"/>
      <c r="AC24" s="95">
        <f>AA24*'Wskazniki emisji paliw'!L$21</f>
        <v>0</v>
      </c>
      <c r="AD24" s="93"/>
      <c r="AE24" s="94"/>
      <c r="AF24" s="95">
        <f>AD24*'Wskazniki emisji paliw'!L$20</f>
        <v>0</v>
      </c>
      <c r="AG24" s="93"/>
      <c r="AH24" s="94"/>
      <c r="AI24" s="95">
        <f>AG24*'Wskazniki emisji paliw'!N$13</f>
        <v>0</v>
      </c>
      <c r="AJ24" s="93">
        <v>676</v>
      </c>
      <c r="AK24" s="94">
        <v>164568.20000000001</v>
      </c>
      <c r="AL24" s="777">
        <f t="shared" si="3"/>
        <v>243.44408284023672</v>
      </c>
      <c r="AM24" s="96">
        <f>AJ24*'Wskazniki emisji paliw'!K$35</f>
        <v>219.024</v>
      </c>
      <c r="AN24" s="5"/>
      <c r="AO24" s="91" t="str">
        <f t="shared" si="13"/>
        <v>Miejski Ośrodek Pomocy Społecznej - MOPS ogólne</v>
      </c>
      <c r="AP24" s="91" t="str">
        <f t="shared" si="14"/>
        <v>MOPS</v>
      </c>
      <c r="AQ24" s="97">
        <v>12096</v>
      </c>
      <c r="AR24" s="97">
        <v>373</v>
      </c>
      <c r="AS24" s="751">
        <v>4510.8100000000004</v>
      </c>
      <c r="AT24" s="94">
        <f t="shared" si="15"/>
        <v>418730.33</v>
      </c>
      <c r="AU24" s="95">
        <f t="shared" si="16"/>
        <v>813.91637858189006</v>
      </c>
      <c r="AV24" s="98">
        <f t="shared" si="7"/>
        <v>34.617256117724871</v>
      </c>
      <c r="AW24" s="98">
        <f t="shared" si="8"/>
        <v>1122.6014209115283</v>
      </c>
      <c r="AX24" s="98">
        <f t="shared" si="9"/>
        <v>92.828190502370973</v>
      </c>
      <c r="AY24" s="98">
        <f t="shared" si="10"/>
        <v>6.7288060398635094E-2</v>
      </c>
      <c r="AZ24" s="98">
        <f t="shared" si="11"/>
        <v>2.1820814439192762</v>
      </c>
      <c r="BA24" s="99">
        <f t="shared" si="12"/>
        <v>0.18043685692412006</v>
      </c>
      <c r="BB24" s="100" t="s">
        <v>233</v>
      </c>
      <c r="BC24" s="90"/>
      <c r="BD24" s="90"/>
      <c r="BE24" s="90"/>
      <c r="BF24" s="90"/>
      <c r="BG24" s="90"/>
      <c r="BH24" s="90"/>
      <c r="BI24" s="90"/>
      <c r="BJ24" s="90"/>
    </row>
    <row r="25" spans="1:62" s="101" customFormat="1" ht="12.75" customHeight="1">
      <c r="A25" s="793"/>
      <c r="B25" s="713" t="s">
        <v>222</v>
      </c>
      <c r="C25" s="726" t="s">
        <v>193</v>
      </c>
      <c r="D25" s="709">
        <v>162841</v>
      </c>
      <c r="E25" s="94">
        <v>61677.97</v>
      </c>
      <c r="F25" s="784">
        <f t="shared" si="1"/>
        <v>0.378761921137797</v>
      </c>
      <c r="G25" s="95">
        <f>D25*(HLOOKUP(Ogolne!$D$6,'Wskazniki emisji elektrycznosc'!$B$8:$G$29,Ogolne!$E$7,TRUE))/1000</f>
        <v>159.909862</v>
      </c>
      <c r="H25" s="93">
        <v>694</v>
      </c>
      <c r="I25" s="94">
        <v>891.81</v>
      </c>
      <c r="J25" s="784">
        <f t="shared" si="2"/>
        <v>1.2850288184438039</v>
      </c>
      <c r="K25" s="95">
        <f>H25*'Wskazniki emisji paliw'!M$26</f>
        <v>5.0330959651522802</v>
      </c>
      <c r="L25" s="93"/>
      <c r="M25" s="94"/>
      <c r="N25" s="95">
        <f>L25*'Wskazniki emisji paliw'!M$27</f>
        <v>0</v>
      </c>
      <c r="O25" s="93"/>
      <c r="P25" s="94"/>
      <c r="Q25" s="95">
        <f>O25*'Wskazniki emisji paliw'!L$17</f>
        <v>0</v>
      </c>
      <c r="R25" s="93"/>
      <c r="S25" s="94"/>
      <c r="T25" s="95">
        <f>R25*'Wskazniki emisji paliw'!L$18</f>
        <v>0</v>
      </c>
      <c r="U25" s="93"/>
      <c r="V25" s="94"/>
      <c r="W25" s="95">
        <f>U25*'Wskazniki emisji paliw'!N$10</f>
        <v>0</v>
      </c>
      <c r="X25" s="93"/>
      <c r="Y25" s="94"/>
      <c r="Z25" s="95">
        <f>X25*'Wskazniki emisji paliw'!N$11</f>
        <v>0</v>
      </c>
      <c r="AA25" s="93"/>
      <c r="AB25" s="94"/>
      <c r="AC25" s="95">
        <f>AA25*'Wskazniki emisji paliw'!L$21</f>
        <v>0</v>
      </c>
      <c r="AD25" s="93"/>
      <c r="AE25" s="94"/>
      <c r="AF25" s="95">
        <f>AD25*'Wskazniki emisji paliw'!L$20</f>
        <v>0</v>
      </c>
      <c r="AG25" s="93"/>
      <c r="AH25" s="94"/>
      <c r="AI25" s="95">
        <f>AG25*'Wskazniki emisji paliw'!N$13</f>
        <v>0</v>
      </c>
      <c r="AJ25" s="93">
        <v>590</v>
      </c>
      <c r="AK25" s="94">
        <v>126640</v>
      </c>
      <c r="AL25" s="777">
        <f t="shared" si="3"/>
        <v>214.64406779661016</v>
      </c>
      <c r="AM25" s="96">
        <f>AJ25*'Wskazniki emisji paliw'!K$35</f>
        <v>191.16</v>
      </c>
      <c r="AN25" s="5"/>
      <c r="AO25" s="91" t="str">
        <f t="shared" si="13"/>
        <v>Miejski Ośrodek Pomocy Społecznej - ZPOW</v>
      </c>
      <c r="AP25" s="91" t="str">
        <f t="shared" si="14"/>
        <v>MOPS</v>
      </c>
      <c r="AQ25" s="97">
        <v>26316</v>
      </c>
      <c r="AR25" s="97">
        <v>191</v>
      </c>
      <c r="AS25" s="751">
        <v>3450</v>
      </c>
      <c r="AT25" s="94">
        <f t="shared" si="15"/>
        <v>189209.78</v>
      </c>
      <c r="AU25" s="95">
        <f t="shared" si="16"/>
        <v>356.10295796515231</v>
      </c>
      <c r="AV25" s="98">
        <f t="shared" si="7"/>
        <v>7.1899141206870345</v>
      </c>
      <c r="AW25" s="98">
        <f t="shared" si="8"/>
        <v>990.62712041884811</v>
      </c>
      <c r="AX25" s="98">
        <f t="shared" si="9"/>
        <v>54.843414492753624</v>
      </c>
      <c r="AY25" s="98">
        <f t="shared" si="10"/>
        <v>1.3531804148242602E-2</v>
      </c>
      <c r="AZ25" s="98">
        <f t="shared" si="11"/>
        <v>1.8644133924877084</v>
      </c>
      <c r="BA25" s="99">
        <f t="shared" si="12"/>
        <v>0.10321824868555139</v>
      </c>
      <c r="BB25" s="100" t="s">
        <v>233</v>
      </c>
      <c r="BC25" s="90"/>
      <c r="BD25" s="90"/>
      <c r="BE25" s="90"/>
      <c r="BF25" s="90"/>
      <c r="BG25" s="90"/>
      <c r="BH25" s="90"/>
      <c r="BI25" s="90"/>
      <c r="BJ25" s="90"/>
    </row>
    <row r="26" spans="1:62" s="101" customFormat="1" ht="12.75" customHeight="1">
      <c r="A26" s="793"/>
      <c r="B26" s="713" t="s">
        <v>257</v>
      </c>
      <c r="C26" s="726" t="s">
        <v>195</v>
      </c>
      <c r="D26" s="709"/>
      <c r="E26" s="94"/>
      <c r="F26" s="784" t="str">
        <f t="shared" si="1"/>
        <v/>
      </c>
      <c r="G26" s="95">
        <f>D26*(HLOOKUP(Ogolne!$D$6,'Wskazniki emisji elektrycznosc'!$B$8:$G$29,Ogolne!$E$7,TRUE))/1000</f>
        <v>0</v>
      </c>
      <c r="H26" s="93"/>
      <c r="I26" s="94"/>
      <c r="J26" s="784" t="str">
        <f t="shared" si="2"/>
        <v/>
      </c>
      <c r="K26" s="95">
        <f>H26*'Wskazniki emisji paliw'!M$26</f>
        <v>0</v>
      </c>
      <c r="L26" s="93"/>
      <c r="M26" s="94"/>
      <c r="N26" s="95">
        <f>L26*'Wskazniki emisji paliw'!M$27</f>
        <v>0</v>
      </c>
      <c r="O26" s="93"/>
      <c r="P26" s="94"/>
      <c r="Q26" s="95">
        <f>O26*'Wskazniki emisji paliw'!L$17</f>
        <v>0</v>
      </c>
      <c r="R26" s="93"/>
      <c r="S26" s="94"/>
      <c r="T26" s="95">
        <f>R26*'Wskazniki emisji paliw'!L$18</f>
        <v>0</v>
      </c>
      <c r="U26" s="93"/>
      <c r="V26" s="94"/>
      <c r="W26" s="95">
        <f>U26*'Wskazniki emisji paliw'!N$10</f>
        <v>0</v>
      </c>
      <c r="X26" s="93"/>
      <c r="Y26" s="94"/>
      <c r="Z26" s="95">
        <f>X26*'Wskazniki emisji paliw'!N$11</f>
        <v>0</v>
      </c>
      <c r="AA26" s="93"/>
      <c r="AB26" s="94"/>
      <c r="AC26" s="95">
        <f>AA26*'Wskazniki emisji paliw'!L$21</f>
        <v>0</v>
      </c>
      <c r="AD26" s="93"/>
      <c r="AE26" s="94"/>
      <c r="AF26" s="95">
        <f>AD26*'Wskazniki emisji paliw'!L$20</f>
        <v>0</v>
      </c>
      <c r="AG26" s="93"/>
      <c r="AH26" s="94"/>
      <c r="AI26" s="95">
        <f>AG26*'Wskazniki emisji paliw'!N$13</f>
        <v>0</v>
      </c>
      <c r="AJ26" s="93"/>
      <c r="AK26" s="94"/>
      <c r="AL26" s="777" t="str">
        <f t="shared" si="3"/>
        <v/>
      </c>
      <c r="AM26" s="96">
        <f>AJ26*'Wskazniki emisji paliw'!K$35</f>
        <v>0</v>
      </c>
      <c r="AN26" s="5"/>
      <c r="AO26" s="91" t="str">
        <f t="shared" si="13"/>
        <v>Miejskie Wodociągi i Kanalizacja Sp. z o.o. - budynki administracyjno-techniczne</v>
      </c>
      <c r="AP26" s="91" t="str">
        <f t="shared" si="14"/>
        <v>MWIK</v>
      </c>
      <c r="AQ26" s="97"/>
      <c r="AR26" s="97"/>
      <c r="AS26" s="93"/>
      <c r="AT26" s="94">
        <f t="shared" si="15"/>
        <v>0</v>
      </c>
      <c r="AU26" s="95">
        <f t="shared" si="16"/>
        <v>0</v>
      </c>
      <c r="AV26" s="98" t="str">
        <f t="shared" si="7"/>
        <v/>
      </c>
      <c r="AW26" s="98" t="str">
        <f t="shared" si="8"/>
        <v/>
      </c>
      <c r="AX26" s="98" t="str">
        <f t="shared" si="9"/>
        <v/>
      </c>
      <c r="AY26" s="98" t="str">
        <f t="shared" si="10"/>
        <v/>
      </c>
      <c r="AZ26" s="98" t="str">
        <f t="shared" si="11"/>
        <v/>
      </c>
      <c r="BA26" s="99" t="str">
        <f t="shared" si="12"/>
        <v/>
      </c>
      <c r="BB26" s="100" t="s">
        <v>345</v>
      </c>
      <c r="BC26" s="90"/>
      <c r="BD26" s="90"/>
      <c r="BE26" s="90"/>
      <c r="BF26" s="90"/>
      <c r="BG26" s="90"/>
      <c r="BH26" s="90"/>
      <c r="BI26" s="90"/>
      <c r="BJ26" s="90"/>
    </row>
    <row r="27" spans="1:62" s="101" customFormat="1">
      <c r="A27" s="793"/>
      <c r="B27" s="713" t="s">
        <v>246</v>
      </c>
      <c r="C27" s="726" t="s">
        <v>196</v>
      </c>
      <c r="D27" s="709">
        <v>2503160</v>
      </c>
      <c r="E27" s="94">
        <v>578555</v>
      </c>
      <c r="F27" s="784">
        <f t="shared" si="1"/>
        <v>0.23112985186723981</v>
      </c>
      <c r="G27" s="95">
        <f>D27*(HLOOKUP(Ogolne!$D$6,'Wskazniki emisji elektrycznosc'!$B$8:$G$29,Ogolne!$E$7,TRUE))/1000</f>
        <v>2458.1031200000002</v>
      </c>
      <c r="H27" s="93"/>
      <c r="I27" s="94"/>
      <c r="J27" s="784" t="str">
        <f t="shared" si="2"/>
        <v/>
      </c>
      <c r="K27" s="95">
        <f>H27*'Wskazniki emisji paliw'!M$26</f>
        <v>0</v>
      </c>
      <c r="L27" s="93"/>
      <c r="M27" s="94"/>
      <c r="N27" s="95">
        <f>L27*'Wskazniki emisji paliw'!M$27</f>
        <v>0</v>
      </c>
      <c r="O27" s="93"/>
      <c r="P27" s="94"/>
      <c r="Q27" s="95">
        <f>O27*'Wskazniki emisji paliw'!L$17</f>
        <v>0</v>
      </c>
      <c r="R27" s="93"/>
      <c r="S27" s="94"/>
      <c r="T27" s="95">
        <f>R27*'Wskazniki emisji paliw'!L$18</f>
        <v>0</v>
      </c>
      <c r="U27" s="93"/>
      <c r="V27" s="94"/>
      <c r="W27" s="95">
        <f>U27*'Wskazniki emisji paliw'!N$10</f>
        <v>0</v>
      </c>
      <c r="X27" s="93"/>
      <c r="Y27" s="94"/>
      <c r="Z27" s="95">
        <f>X27*'Wskazniki emisji paliw'!N$11</f>
        <v>0</v>
      </c>
      <c r="AA27" s="93"/>
      <c r="AB27" s="94"/>
      <c r="AC27" s="95">
        <f>AA27*'Wskazniki emisji paliw'!L$21</f>
        <v>0</v>
      </c>
      <c r="AD27" s="93"/>
      <c r="AE27" s="94"/>
      <c r="AF27" s="95">
        <f>AD27*'Wskazniki emisji paliw'!L$20</f>
        <v>0</v>
      </c>
      <c r="AG27" s="93"/>
      <c r="AH27" s="94"/>
      <c r="AI27" s="95">
        <f>AG27*'Wskazniki emisji paliw'!N$13</f>
        <v>0</v>
      </c>
      <c r="AJ27" s="93">
        <v>9793.6111111111113</v>
      </c>
      <c r="AK27" s="94">
        <v>1591087.92</v>
      </c>
      <c r="AL27" s="777">
        <f t="shared" si="3"/>
        <v>162.4618235244065</v>
      </c>
      <c r="AM27" s="96">
        <f>AJ27*'Wskazniki emisji paliw'!K$35</f>
        <v>3173.13</v>
      </c>
      <c r="AN27" s="5"/>
      <c r="AO27" s="91" t="str">
        <f t="shared" si="13"/>
        <v>Miejskie Zakłady Komunikacyjne Sp. z o.o. w Bydgoszczy</v>
      </c>
      <c r="AP27" s="91" t="str">
        <f t="shared" si="14"/>
        <v>MZK</v>
      </c>
      <c r="AQ27" s="97">
        <v>33560</v>
      </c>
      <c r="AR27" s="97">
        <v>626</v>
      </c>
      <c r="AS27" s="97">
        <v>31476.720000000001</v>
      </c>
      <c r="AT27" s="94">
        <f t="shared" si="15"/>
        <v>2169642.92</v>
      </c>
      <c r="AU27" s="95">
        <f t="shared" si="16"/>
        <v>5631.2331200000008</v>
      </c>
      <c r="AV27" s="98">
        <f t="shared" si="7"/>
        <v>64.649669845053637</v>
      </c>
      <c r="AW27" s="98">
        <f t="shared" si="8"/>
        <v>3465.8832587859424</v>
      </c>
      <c r="AX27" s="98">
        <f t="shared" si="9"/>
        <v>68.928494455584953</v>
      </c>
      <c r="AY27" s="98">
        <f t="shared" si="10"/>
        <v>0.16779598092967821</v>
      </c>
      <c r="AZ27" s="98">
        <f t="shared" si="11"/>
        <v>8.9955800638977657</v>
      </c>
      <c r="BA27" s="99">
        <f t="shared" si="12"/>
        <v>0.17890152214080757</v>
      </c>
      <c r="BB27" s="100"/>
      <c r="BC27" s="90"/>
      <c r="BD27" s="90"/>
      <c r="BE27" s="90"/>
      <c r="BF27" s="90"/>
      <c r="BG27" s="90"/>
      <c r="BH27" s="90"/>
      <c r="BI27" s="90"/>
      <c r="BJ27" s="90"/>
    </row>
    <row r="28" spans="1:62" s="101" customFormat="1">
      <c r="A28" s="793"/>
      <c r="B28" s="713" t="s">
        <v>198</v>
      </c>
      <c r="C28" s="726" t="s">
        <v>199</v>
      </c>
      <c r="D28" s="709"/>
      <c r="E28" s="94"/>
      <c r="F28" s="784" t="str">
        <f t="shared" si="1"/>
        <v/>
      </c>
      <c r="G28" s="95">
        <f>D28*(HLOOKUP(Ogolne!$D$6,'Wskazniki emisji elektrycznosc'!$B$8:$G$29,Ogolne!$E$7,TRUE))/1000</f>
        <v>0</v>
      </c>
      <c r="H28" s="93"/>
      <c r="I28" s="94"/>
      <c r="J28" s="784" t="str">
        <f t="shared" si="2"/>
        <v/>
      </c>
      <c r="K28" s="95">
        <f>H28*'Wskazniki emisji paliw'!M$26</f>
        <v>0</v>
      </c>
      <c r="L28" s="93"/>
      <c r="M28" s="94"/>
      <c r="N28" s="95">
        <f>L28*'Wskazniki emisji paliw'!M$27</f>
        <v>0</v>
      </c>
      <c r="O28" s="93"/>
      <c r="P28" s="94"/>
      <c r="Q28" s="95">
        <f>O28*'Wskazniki emisji paliw'!L$17</f>
        <v>0</v>
      </c>
      <c r="R28" s="93"/>
      <c r="S28" s="94"/>
      <c r="T28" s="95">
        <f>R28*'Wskazniki emisji paliw'!L$18</f>
        <v>0</v>
      </c>
      <c r="U28" s="93"/>
      <c r="V28" s="94"/>
      <c r="W28" s="95">
        <f>U28*'Wskazniki emisji paliw'!N$10</f>
        <v>0</v>
      </c>
      <c r="X28" s="93"/>
      <c r="Y28" s="94"/>
      <c r="Z28" s="95">
        <f>X28*'Wskazniki emisji paliw'!N$11</f>
        <v>0</v>
      </c>
      <c r="AA28" s="93"/>
      <c r="AB28" s="94"/>
      <c r="AC28" s="95">
        <f>AA28*'Wskazniki emisji paliw'!L$21</f>
        <v>0</v>
      </c>
      <c r="AD28" s="93"/>
      <c r="AE28" s="94"/>
      <c r="AF28" s="95">
        <f>AD28*'Wskazniki emisji paliw'!L$20</f>
        <v>0</v>
      </c>
      <c r="AG28" s="93"/>
      <c r="AH28" s="94"/>
      <c r="AI28" s="95">
        <f>AG28*'Wskazniki emisji paliw'!N$13</f>
        <v>0</v>
      </c>
      <c r="AJ28" s="93"/>
      <c r="AK28" s="94"/>
      <c r="AL28" s="777" t="str">
        <f t="shared" si="3"/>
        <v/>
      </c>
      <c r="AM28" s="96">
        <f>AJ28*'Wskazniki emisji paliw'!K$35</f>
        <v>0</v>
      </c>
      <c r="AN28" s="5"/>
      <c r="AO28" s="91" t="str">
        <f t="shared" si="13"/>
        <v>Międzygminny Kompleks Unieszkodliwiania Odpadów ProNatura</v>
      </c>
      <c r="AP28" s="91" t="str">
        <f t="shared" si="14"/>
        <v>MKUO</v>
      </c>
      <c r="AQ28" s="97"/>
      <c r="AR28" s="97"/>
      <c r="AS28" s="97"/>
      <c r="AT28" s="94">
        <f t="shared" si="15"/>
        <v>0</v>
      </c>
      <c r="AU28" s="95">
        <f t="shared" si="16"/>
        <v>0</v>
      </c>
      <c r="AV28" s="98" t="str">
        <f t="shared" si="7"/>
        <v/>
      </c>
      <c r="AW28" s="98" t="str">
        <f t="shared" si="8"/>
        <v/>
      </c>
      <c r="AX28" s="98" t="str">
        <f t="shared" si="9"/>
        <v/>
      </c>
      <c r="AY28" s="98" t="str">
        <f t="shared" si="10"/>
        <v/>
      </c>
      <c r="AZ28" s="98" t="str">
        <f t="shared" si="11"/>
        <v/>
      </c>
      <c r="BA28" s="99" t="str">
        <f t="shared" si="12"/>
        <v/>
      </c>
      <c r="BB28" s="100" t="s">
        <v>281</v>
      </c>
      <c r="BC28" s="90"/>
      <c r="BD28" s="90"/>
      <c r="BE28" s="90"/>
      <c r="BF28" s="90"/>
      <c r="BG28" s="90"/>
      <c r="BH28" s="90"/>
      <c r="BI28" s="90"/>
      <c r="BJ28" s="90"/>
    </row>
    <row r="29" spans="1:62" s="101" customFormat="1" ht="22.5">
      <c r="A29" s="793"/>
      <c r="B29" s="713" t="s">
        <v>247</v>
      </c>
      <c r="C29" s="726" t="s">
        <v>194</v>
      </c>
      <c r="D29" s="709">
        <v>62136</v>
      </c>
      <c r="E29" s="94">
        <v>25860</v>
      </c>
      <c r="F29" s="784">
        <f t="shared" si="1"/>
        <v>0.41618385477018155</v>
      </c>
      <c r="G29" s="95">
        <f>D29*(HLOOKUP(Ogolne!$D$6,'Wskazniki emisji elektrycznosc'!$B$8:$G$29,Ogolne!$E$7,TRUE))/1000</f>
        <v>61.017551999999995</v>
      </c>
      <c r="H29" s="93"/>
      <c r="I29" s="94"/>
      <c r="J29" s="784" t="str">
        <f t="shared" si="2"/>
        <v/>
      </c>
      <c r="K29" s="95">
        <f>H29*'Wskazniki emisji paliw'!M$26</f>
        <v>0</v>
      </c>
      <c r="L29" s="93"/>
      <c r="M29" s="94"/>
      <c r="N29" s="95">
        <f>L29*'Wskazniki emisji paliw'!M$27</f>
        <v>0</v>
      </c>
      <c r="O29" s="93"/>
      <c r="P29" s="94"/>
      <c r="Q29" s="95">
        <f>O29*'Wskazniki emisji paliw'!L$17</f>
        <v>0</v>
      </c>
      <c r="R29" s="93"/>
      <c r="S29" s="94"/>
      <c r="T29" s="95">
        <f>R29*'Wskazniki emisji paliw'!L$18</f>
        <v>0</v>
      </c>
      <c r="U29" s="93"/>
      <c r="V29" s="94"/>
      <c r="W29" s="95">
        <f>U29*'Wskazniki emisji paliw'!N$10</f>
        <v>0</v>
      </c>
      <c r="X29" s="93"/>
      <c r="Y29" s="94"/>
      <c r="Z29" s="95">
        <f>X29*'Wskazniki emisji paliw'!N$11</f>
        <v>0</v>
      </c>
      <c r="AA29" s="93"/>
      <c r="AB29" s="94"/>
      <c r="AC29" s="95">
        <f>AA29*'Wskazniki emisji paliw'!L$21</f>
        <v>0</v>
      </c>
      <c r="AD29" s="93"/>
      <c r="AE29" s="94"/>
      <c r="AF29" s="95">
        <f>AD29*'Wskazniki emisji paliw'!L$20</f>
        <v>0</v>
      </c>
      <c r="AG29" s="93"/>
      <c r="AH29" s="94"/>
      <c r="AI29" s="95">
        <f>AG29*'Wskazniki emisji paliw'!N$13</f>
        <v>0</v>
      </c>
      <c r="AJ29" s="93">
        <v>1240.83</v>
      </c>
      <c r="AK29" s="94">
        <v>94087</v>
      </c>
      <c r="AL29" s="777">
        <f t="shared" si="3"/>
        <v>75.825858497940899</v>
      </c>
      <c r="AM29" s="96">
        <f>AJ29*'Wskazniki emisji paliw'!K$35</f>
        <v>402.02891999999997</v>
      </c>
      <c r="AN29" s="5"/>
      <c r="AO29" s="91" t="str">
        <f t="shared" si="13"/>
        <v>Muzeum Okręgowe im. Leona Wyczółkowskiego w Bydgoszczy</v>
      </c>
      <c r="AP29" s="91" t="str">
        <f t="shared" si="14"/>
        <v>MOLW</v>
      </c>
      <c r="AQ29" s="97">
        <v>4224</v>
      </c>
      <c r="AR29" s="97">
        <v>50</v>
      </c>
      <c r="AS29" s="97">
        <v>3838.75</v>
      </c>
      <c r="AT29" s="94">
        <f t="shared" si="15"/>
        <v>119947</v>
      </c>
      <c r="AU29" s="95">
        <f t="shared" si="16"/>
        <v>463.04647199999999</v>
      </c>
      <c r="AV29" s="98">
        <f t="shared" si="7"/>
        <v>28.396543560606062</v>
      </c>
      <c r="AW29" s="98">
        <f t="shared" si="8"/>
        <v>2398.94</v>
      </c>
      <c r="AX29" s="98">
        <f t="shared" si="9"/>
        <v>31.246369260827091</v>
      </c>
      <c r="AY29" s="98">
        <f t="shared" si="10"/>
        <v>0.10962274431818182</v>
      </c>
      <c r="AZ29" s="98">
        <f t="shared" si="11"/>
        <v>9.26092944</v>
      </c>
      <c r="BA29" s="99">
        <f t="shared" si="12"/>
        <v>0.12062428446760012</v>
      </c>
      <c r="BB29" s="100" t="s">
        <v>282</v>
      </c>
      <c r="BC29" s="90"/>
      <c r="BD29" s="90"/>
      <c r="BE29" s="90"/>
      <c r="BF29" s="90"/>
      <c r="BG29" s="90"/>
      <c r="BH29" s="90"/>
      <c r="BI29" s="90"/>
      <c r="BJ29" s="90"/>
    </row>
    <row r="30" spans="1:62" s="101" customFormat="1">
      <c r="A30" s="793"/>
      <c r="B30" s="732" t="s">
        <v>248</v>
      </c>
      <c r="C30" s="733" t="s">
        <v>197</v>
      </c>
      <c r="D30" s="709">
        <v>849650</v>
      </c>
      <c r="E30" s="94">
        <v>248950.58</v>
      </c>
      <c r="F30" s="784">
        <f t="shared" si="1"/>
        <v>0.29300368386982872</v>
      </c>
      <c r="G30" s="95">
        <f>D30*(HLOOKUP(Ogolne!$D$6,'Wskazniki emisji elektrycznosc'!$B$8:$G$29,Ogolne!$E$7,TRUE))/1000</f>
        <v>834.35629999999992</v>
      </c>
      <c r="H30" s="93"/>
      <c r="I30" s="94"/>
      <c r="J30" s="784" t="str">
        <f t="shared" si="2"/>
        <v/>
      </c>
      <c r="K30" s="95">
        <f>H30*'Wskazniki emisji paliw'!M$26</f>
        <v>0</v>
      </c>
      <c r="L30" s="93"/>
      <c r="M30" s="94"/>
      <c r="N30" s="95">
        <f>L30*'Wskazniki emisji paliw'!M$27</f>
        <v>0</v>
      </c>
      <c r="O30" s="93">
        <v>17526</v>
      </c>
      <c r="P30" s="94">
        <v>39238.33</v>
      </c>
      <c r="Q30" s="95">
        <f>O30*'Wskazniki emisji paliw'!L$17</f>
        <v>48.552924334139995</v>
      </c>
      <c r="R30" s="93"/>
      <c r="S30" s="94"/>
      <c r="T30" s="95">
        <f>R30*'Wskazniki emisji paliw'!L$18</f>
        <v>0</v>
      </c>
      <c r="U30" s="93"/>
      <c r="V30" s="94"/>
      <c r="W30" s="95">
        <f>U30*'Wskazniki emisji paliw'!N$10</f>
        <v>0</v>
      </c>
      <c r="X30" s="93"/>
      <c r="Y30" s="94"/>
      <c r="Z30" s="95">
        <f>X30*'Wskazniki emisji paliw'!N$11</f>
        <v>0</v>
      </c>
      <c r="AA30" s="93"/>
      <c r="AB30" s="94"/>
      <c r="AC30" s="95">
        <f>AA30*'Wskazniki emisji paliw'!L$21</f>
        <v>0</v>
      </c>
      <c r="AD30" s="93"/>
      <c r="AE30" s="94"/>
      <c r="AF30" s="95">
        <f>AD30*'Wskazniki emisji paliw'!L$20</f>
        <v>0</v>
      </c>
      <c r="AG30" s="93"/>
      <c r="AH30" s="94"/>
      <c r="AI30" s="95">
        <f>AG30*'Wskazniki emisji paliw'!N$13</f>
        <v>0</v>
      </c>
      <c r="AJ30" s="93">
        <v>235.55555555555554</v>
      </c>
      <c r="AK30" s="94">
        <v>28662.16</v>
      </c>
      <c r="AL30" s="777">
        <f t="shared" si="3"/>
        <v>121.67898113207548</v>
      </c>
      <c r="AM30" s="96">
        <f>AJ30*'Wskazniki emisji paliw'!K$35</f>
        <v>76.319999999999993</v>
      </c>
      <c r="AN30" s="5"/>
      <c r="AO30" s="91" t="str">
        <f t="shared" si="13"/>
        <v>Port Lotniczy Bydgoszcz S.A.</v>
      </c>
      <c r="AP30" s="91" t="str">
        <f t="shared" si="14"/>
        <v>PLB</v>
      </c>
      <c r="AQ30" s="97">
        <v>39420</v>
      </c>
      <c r="AR30" s="97">
        <v>134</v>
      </c>
      <c r="AS30" s="97">
        <v>8207</v>
      </c>
      <c r="AT30" s="94">
        <f t="shared" si="15"/>
        <v>316851.06999999995</v>
      </c>
      <c r="AU30" s="95">
        <f t="shared" si="16"/>
        <v>959.22922433413987</v>
      </c>
      <c r="AV30" s="98">
        <f t="shared" si="7"/>
        <v>8.0378252156265848</v>
      </c>
      <c r="AW30" s="98">
        <f t="shared" si="8"/>
        <v>2364.5602238805968</v>
      </c>
      <c r="AX30" s="98">
        <f t="shared" si="9"/>
        <v>38.60741683928353</v>
      </c>
      <c r="AY30" s="98">
        <f t="shared" si="10"/>
        <v>2.4333567334706745E-2</v>
      </c>
      <c r="AZ30" s="98">
        <f t="shared" si="11"/>
        <v>7.1584270472697007</v>
      </c>
      <c r="BA30" s="99">
        <f t="shared" si="12"/>
        <v>0.116879398602917</v>
      </c>
      <c r="BB30" s="100"/>
      <c r="BC30" s="90"/>
      <c r="BD30" s="90"/>
      <c r="BE30" s="90"/>
      <c r="BF30" s="90"/>
      <c r="BG30" s="90"/>
      <c r="BH30" s="90"/>
      <c r="BI30" s="90"/>
      <c r="BJ30" s="90"/>
    </row>
    <row r="31" spans="1:62" s="101" customFormat="1">
      <c r="A31" s="793"/>
      <c r="B31" s="713" t="s">
        <v>249</v>
      </c>
      <c r="C31" s="726" t="s">
        <v>200</v>
      </c>
      <c r="D31" s="709">
        <v>91920</v>
      </c>
      <c r="E31" s="94">
        <v>33069.919999999998</v>
      </c>
      <c r="F31" s="784">
        <f t="shared" si="1"/>
        <v>0.35976849434290686</v>
      </c>
      <c r="G31" s="95">
        <f>D31*(HLOOKUP(Ogolne!$D$6,'Wskazniki emisji elektrycznosc'!$B$8:$G$29,Ogolne!$E$7,TRUE))/1000</f>
        <v>90.265439999999998</v>
      </c>
      <c r="H31" s="93"/>
      <c r="I31" s="94"/>
      <c r="J31" s="784" t="str">
        <f t="shared" si="2"/>
        <v/>
      </c>
      <c r="K31" s="95">
        <f>H31*'Wskazniki emisji paliw'!M$26</f>
        <v>0</v>
      </c>
      <c r="L31" s="93"/>
      <c r="M31" s="94"/>
      <c r="N31" s="95">
        <f>L31*'Wskazniki emisji paliw'!M$27</f>
        <v>0</v>
      </c>
      <c r="O31" s="93"/>
      <c r="P31" s="94"/>
      <c r="Q31" s="95">
        <f>O31*'Wskazniki emisji paliw'!L$17</f>
        <v>0</v>
      </c>
      <c r="R31" s="93"/>
      <c r="S31" s="94"/>
      <c r="T31" s="95">
        <f>R31*'Wskazniki emisji paliw'!L$18</f>
        <v>0</v>
      </c>
      <c r="U31" s="93"/>
      <c r="V31" s="94"/>
      <c r="W31" s="95">
        <f>U31*'Wskazniki emisji paliw'!N$10</f>
        <v>0</v>
      </c>
      <c r="X31" s="93"/>
      <c r="Y31" s="94"/>
      <c r="Z31" s="95">
        <f>X31*'Wskazniki emisji paliw'!N$11</f>
        <v>0</v>
      </c>
      <c r="AA31" s="93"/>
      <c r="AB31" s="94"/>
      <c r="AC31" s="95">
        <f>AA31*'Wskazniki emisji paliw'!L$21</f>
        <v>0</v>
      </c>
      <c r="AD31" s="93"/>
      <c r="AE31" s="94"/>
      <c r="AF31" s="95">
        <f>AD31*'Wskazniki emisji paliw'!L$20</f>
        <v>0</v>
      </c>
      <c r="AG31" s="93"/>
      <c r="AH31" s="94"/>
      <c r="AI31" s="95">
        <f>AG31*'Wskazniki emisji paliw'!N$13</f>
        <v>0</v>
      </c>
      <c r="AJ31" s="93">
        <v>474.44444444444446</v>
      </c>
      <c r="AK31" s="94">
        <v>69302.820000000007</v>
      </c>
      <c r="AL31" s="777">
        <f t="shared" si="3"/>
        <v>146.07151756440282</v>
      </c>
      <c r="AM31" s="96">
        <f>AJ31*'Wskazniki emisji paliw'!K$35</f>
        <v>153.72</v>
      </c>
      <c r="AN31" s="5"/>
      <c r="AO31" s="91" t="str">
        <f t="shared" si="13"/>
        <v>Powiatowy Urząd Pracy w Bydgoszczy</v>
      </c>
      <c r="AP31" s="91" t="str">
        <f t="shared" si="14"/>
        <v>PUP</v>
      </c>
      <c r="AQ31" s="97">
        <v>2024</v>
      </c>
      <c r="AR31" s="97">
        <v>611</v>
      </c>
      <c r="AS31" s="97">
        <v>2446</v>
      </c>
      <c r="AT31" s="94">
        <f t="shared" si="15"/>
        <v>102372.74</v>
      </c>
      <c r="AU31" s="95">
        <f t="shared" si="16"/>
        <v>243.98543999999998</v>
      </c>
      <c r="AV31" s="98">
        <f t="shared" si="7"/>
        <v>50.579416996047435</v>
      </c>
      <c r="AW31" s="98">
        <f t="shared" si="8"/>
        <v>167.54949263502456</v>
      </c>
      <c r="AX31" s="98">
        <f t="shared" si="9"/>
        <v>41.853123466884711</v>
      </c>
      <c r="AY31" s="98">
        <f t="shared" si="10"/>
        <v>0.12054616600790513</v>
      </c>
      <c r="AZ31" s="98">
        <f t="shared" si="11"/>
        <v>0.39932150572831421</v>
      </c>
      <c r="BA31" s="99">
        <f t="shared" si="12"/>
        <v>9.974874897792313E-2</v>
      </c>
      <c r="BB31" s="100"/>
      <c r="BC31" s="90"/>
      <c r="BD31" s="90"/>
      <c r="BE31" s="90"/>
      <c r="BF31" s="90"/>
      <c r="BG31" s="90"/>
      <c r="BH31" s="90"/>
      <c r="BI31" s="90"/>
      <c r="BJ31" s="90"/>
    </row>
    <row r="32" spans="1:62" s="101" customFormat="1">
      <c r="A32" s="793"/>
      <c r="B32" s="713" t="s">
        <v>250</v>
      </c>
      <c r="C32" s="726" t="s">
        <v>201</v>
      </c>
      <c r="D32" s="709">
        <v>63820</v>
      </c>
      <c r="E32" s="94">
        <v>22533.8</v>
      </c>
      <c r="F32" s="784">
        <f t="shared" si="1"/>
        <v>0.35308367282983388</v>
      </c>
      <c r="G32" s="95">
        <f>D32*(HLOOKUP(Ogolne!$D$6,'Wskazniki emisji elektrycznosc'!$B$8:$G$29,Ogolne!$E$7,TRUE))/1000</f>
        <v>62.671239999999997</v>
      </c>
      <c r="H32" s="93"/>
      <c r="I32" s="94"/>
      <c r="J32" s="784" t="str">
        <f t="shared" si="2"/>
        <v/>
      </c>
      <c r="K32" s="95">
        <f>H32*'Wskazniki emisji paliw'!M$26</f>
        <v>0</v>
      </c>
      <c r="L32" s="93"/>
      <c r="M32" s="94"/>
      <c r="N32" s="95">
        <f>L32*'Wskazniki emisji paliw'!M$27</f>
        <v>0</v>
      </c>
      <c r="O32" s="93"/>
      <c r="P32" s="94"/>
      <c r="Q32" s="95">
        <f>O32*'Wskazniki emisji paliw'!L$17</f>
        <v>0</v>
      </c>
      <c r="R32" s="93"/>
      <c r="S32" s="94"/>
      <c r="T32" s="95">
        <f>R32*'Wskazniki emisji paliw'!L$18</f>
        <v>0</v>
      </c>
      <c r="U32" s="93"/>
      <c r="V32" s="94"/>
      <c r="W32" s="95">
        <f>U32*'Wskazniki emisji paliw'!N$10</f>
        <v>0</v>
      </c>
      <c r="X32" s="93"/>
      <c r="Y32" s="94"/>
      <c r="Z32" s="95">
        <f>X32*'Wskazniki emisji paliw'!N$11</f>
        <v>0</v>
      </c>
      <c r="AA32" s="93"/>
      <c r="AB32" s="94"/>
      <c r="AC32" s="95">
        <f>AA32*'Wskazniki emisji paliw'!L$21</f>
        <v>0</v>
      </c>
      <c r="AD32" s="93"/>
      <c r="AE32" s="94"/>
      <c r="AF32" s="95">
        <f>AD32*'Wskazniki emisji paliw'!L$20</f>
        <v>0</v>
      </c>
      <c r="AG32" s="93"/>
      <c r="AH32" s="94"/>
      <c r="AI32" s="95">
        <f>AG32*'Wskazniki emisji paliw'!N$13</f>
        <v>0</v>
      </c>
      <c r="AJ32" s="93">
        <v>89.722222222222214</v>
      </c>
      <c r="AK32" s="94">
        <v>14576.89</v>
      </c>
      <c r="AL32" s="777">
        <f t="shared" si="3"/>
        <v>162.46688544891643</v>
      </c>
      <c r="AM32" s="96">
        <f>AJ32*'Wskazniki emisji paliw'!K$35</f>
        <v>29.069999999999997</v>
      </c>
      <c r="AN32" s="5"/>
      <c r="AO32" s="91" t="str">
        <f t="shared" si="13"/>
        <v>Schronisko dla Zwierząt w Bydgoszczy</v>
      </c>
      <c r="AP32" s="91" t="str">
        <f t="shared" si="14"/>
        <v>SZ</v>
      </c>
      <c r="AQ32" s="97">
        <v>8760</v>
      </c>
      <c r="AR32" s="97">
        <v>27</v>
      </c>
      <c r="AS32" s="97">
        <v>878.85</v>
      </c>
      <c r="AT32" s="94">
        <f t="shared" si="15"/>
        <v>37110.69</v>
      </c>
      <c r="AU32" s="95">
        <f t="shared" si="16"/>
        <v>91.741239999999991</v>
      </c>
      <c r="AV32" s="98">
        <f t="shared" si="7"/>
        <v>4.2363801369863019</v>
      </c>
      <c r="AW32" s="98">
        <f t="shared" si="8"/>
        <v>1374.47</v>
      </c>
      <c r="AX32" s="98">
        <f t="shared" si="9"/>
        <v>42.226420890937021</v>
      </c>
      <c r="AY32" s="98">
        <f t="shared" si="10"/>
        <v>1.0472744292237442E-2</v>
      </c>
      <c r="AZ32" s="98">
        <f t="shared" si="11"/>
        <v>3.3978237037037036</v>
      </c>
      <c r="BA32" s="99">
        <f t="shared" si="12"/>
        <v>0.10438782499857767</v>
      </c>
      <c r="BB32" s="100"/>
      <c r="BC32" s="90"/>
      <c r="BD32" s="90"/>
      <c r="BE32" s="90"/>
      <c r="BF32" s="90"/>
      <c r="BG32" s="90"/>
      <c r="BH32" s="90"/>
      <c r="BI32" s="90"/>
      <c r="BJ32" s="90"/>
    </row>
    <row r="33" spans="1:62" s="101" customFormat="1">
      <c r="A33" s="793"/>
      <c r="B33" s="713" t="s">
        <v>251</v>
      </c>
      <c r="C33" s="726" t="s">
        <v>203</v>
      </c>
      <c r="D33" s="709">
        <v>73645</v>
      </c>
      <c r="E33" s="94">
        <v>30434.83</v>
      </c>
      <c r="F33" s="784">
        <f t="shared" si="1"/>
        <v>0.41326403693393987</v>
      </c>
      <c r="G33" s="95">
        <f>D33*(HLOOKUP(Ogolne!$D$6,'Wskazniki emisji elektrycznosc'!$B$8:$G$29,Ogolne!$E$7,TRUE))/1000</f>
        <v>72.319389999999999</v>
      </c>
      <c r="H33" s="93"/>
      <c r="I33" s="94"/>
      <c r="J33" s="784" t="str">
        <f t="shared" si="2"/>
        <v/>
      </c>
      <c r="K33" s="95">
        <f>H33*'Wskazniki emisji paliw'!M$26</f>
        <v>0</v>
      </c>
      <c r="L33" s="93"/>
      <c r="M33" s="94"/>
      <c r="N33" s="95">
        <f>L33*'Wskazniki emisji paliw'!M$27</f>
        <v>0</v>
      </c>
      <c r="O33" s="93"/>
      <c r="P33" s="94"/>
      <c r="Q33" s="95">
        <f>O33*'Wskazniki emisji paliw'!L$17</f>
        <v>0</v>
      </c>
      <c r="R33" s="93"/>
      <c r="S33" s="94"/>
      <c r="T33" s="95">
        <f>R33*'Wskazniki emisji paliw'!L$18</f>
        <v>0</v>
      </c>
      <c r="U33" s="93"/>
      <c r="V33" s="94"/>
      <c r="W33" s="95">
        <f>U33*'Wskazniki emisji paliw'!N$10</f>
        <v>0</v>
      </c>
      <c r="X33" s="93"/>
      <c r="Y33" s="94"/>
      <c r="Z33" s="95">
        <f>X33*'Wskazniki emisji paliw'!N$11</f>
        <v>0</v>
      </c>
      <c r="AA33" s="93"/>
      <c r="AB33" s="94"/>
      <c r="AC33" s="95">
        <f>AA33*'Wskazniki emisji paliw'!L$21</f>
        <v>0</v>
      </c>
      <c r="AD33" s="93"/>
      <c r="AE33" s="94"/>
      <c r="AF33" s="95">
        <f>AD33*'Wskazniki emisji paliw'!L$20</f>
        <v>0</v>
      </c>
      <c r="AG33" s="93"/>
      <c r="AH33" s="94"/>
      <c r="AI33" s="95">
        <f>AG33*'Wskazniki emisji paliw'!N$13</f>
        <v>0</v>
      </c>
      <c r="AJ33" s="93">
        <f>AK33/163</f>
        <v>97.306748466257673</v>
      </c>
      <c r="AK33" s="94">
        <v>15861</v>
      </c>
      <c r="AL33" s="777">
        <f t="shared" si="3"/>
        <v>163</v>
      </c>
      <c r="AM33" s="96">
        <f>AJ33*'Wskazniki emisji paliw'!K$35</f>
        <v>31.527386503067486</v>
      </c>
      <c r="AN33" s="5"/>
      <c r="AO33" s="91" t="str">
        <f t="shared" si="13"/>
        <v>Straż Miejska w Bydgoszczy</v>
      </c>
      <c r="AP33" s="91" t="str">
        <f t="shared" si="14"/>
        <v>SM</v>
      </c>
      <c r="AQ33" s="97">
        <v>26280</v>
      </c>
      <c r="AR33" s="97">
        <v>193</v>
      </c>
      <c r="AS33" s="97">
        <v>1183.8800000000001</v>
      </c>
      <c r="AT33" s="94">
        <f t="shared" si="15"/>
        <v>46295.83</v>
      </c>
      <c r="AU33" s="95">
        <f t="shared" si="16"/>
        <v>103.84677650306749</v>
      </c>
      <c r="AV33" s="98">
        <f t="shared" si="7"/>
        <v>1.7616373668188738</v>
      </c>
      <c r="AW33" s="98">
        <f t="shared" si="8"/>
        <v>239.87476683937825</v>
      </c>
      <c r="AX33" s="98">
        <f t="shared" si="9"/>
        <v>39.105171132209342</v>
      </c>
      <c r="AY33" s="98">
        <f t="shared" si="10"/>
        <v>3.9515516173161142E-3</v>
      </c>
      <c r="AZ33" s="98">
        <f t="shared" si="11"/>
        <v>0.53806619949775902</v>
      </c>
      <c r="BA33" s="99">
        <f t="shared" si="12"/>
        <v>8.7717316369114673E-2</v>
      </c>
      <c r="BB33" s="100"/>
      <c r="BC33" s="90"/>
      <c r="BD33" s="90"/>
      <c r="BE33" s="90"/>
      <c r="BF33" s="90"/>
      <c r="BG33" s="90"/>
      <c r="BH33" s="90"/>
      <c r="BI33" s="90"/>
      <c r="BJ33" s="90"/>
    </row>
    <row r="34" spans="1:62" s="101" customFormat="1">
      <c r="A34" s="793"/>
      <c r="B34" s="713" t="s">
        <v>252</v>
      </c>
      <c r="C34" s="726" t="s">
        <v>204</v>
      </c>
      <c r="D34" s="709">
        <v>137271</v>
      </c>
      <c r="E34" s="94">
        <v>61741.89</v>
      </c>
      <c r="F34" s="784">
        <f t="shared" si="1"/>
        <v>0.44978101711213586</v>
      </c>
      <c r="G34" s="95">
        <f>D34*(HLOOKUP(Ogolne!$D$6,'Wskazniki emisji elektrycznosc'!$B$8:$G$29,Ogolne!$E$7,TRUE))/1000</f>
        <v>134.80012200000002</v>
      </c>
      <c r="H34" s="93"/>
      <c r="I34" s="94"/>
      <c r="J34" s="784" t="str">
        <f t="shared" si="2"/>
        <v/>
      </c>
      <c r="K34" s="95">
        <f>H34*'Wskazniki emisji paliw'!M$26</f>
        <v>0</v>
      </c>
      <c r="L34" s="93"/>
      <c r="M34" s="94"/>
      <c r="N34" s="95">
        <f>L34*'Wskazniki emisji paliw'!M$27</f>
        <v>0</v>
      </c>
      <c r="O34" s="93"/>
      <c r="P34" s="94"/>
      <c r="Q34" s="95">
        <f>O34*'Wskazniki emisji paliw'!L$17</f>
        <v>0</v>
      </c>
      <c r="R34" s="93"/>
      <c r="S34" s="94"/>
      <c r="T34" s="95">
        <f>R34*'Wskazniki emisji paliw'!L$18</f>
        <v>0</v>
      </c>
      <c r="U34" s="93"/>
      <c r="V34" s="94"/>
      <c r="W34" s="95">
        <f>U34*'Wskazniki emisji paliw'!N$10</f>
        <v>0</v>
      </c>
      <c r="X34" s="93"/>
      <c r="Y34" s="94"/>
      <c r="Z34" s="95">
        <f>X34*'Wskazniki emisji paliw'!N$11</f>
        <v>0</v>
      </c>
      <c r="AA34" s="93"/>
      <c r="AB34" s="94"/>
      <c r="AC34" s="95">
        <f>AA34*'Wskazniki emisji paliw'!L$21</f>
        <v>0</v>
      </c>
      <c r="AD34" s="93"/>
      <c r="AE34" s="94"/>
      <c r="AF34" s="95">
        <f>AD34*'Wskazniki emisji paliw'!L$20</f>
        <v>0</v>
      </c>
      <c r="AG34" s="93"/>
      <c r="AH34" s="94"/>
      <c r="AI34" s="95">
        <f>AG34*'Wskazniki emisji paliw'!N$13</f>
        <v>0</v>
      </c>
      <c r="AJ34" s="93">
        <v>559.16666666666663</v>
      </c>
      <c r="AK34" s="94">
        <v>87499.97</v>
      </c>
      <c r="AL34" s="777">
        <f t="shared" si="3"/>
        <v>156.48280774962743</v>
      </c>
      <c r="AM34" s="96">
        <f>AJ34*'Wskazniki emisji paliw'!K$35</f>
        <v>181.17</v>
      </c>
      <c r="AN34" s="5"/>
      <c r="AO34" s="91" t="str">
        <f t="shared" si="13"/>
        <v>Teatr Polski im. Hieronima Konieczki w Bydgoszczy</v>
      </c>
      <c r="AP34" s="91" t="str">
        <f t="shared" si="14"/>
        <v>TP</v>
      </c>
      <c r="AQ34" s="753"/>
      <c r="AR34" s="753"/>
      <c r="AS34" s="753"/>
      <c r="AT34" s="94">
        <f t="shared" si="15"/>
        <v>149241.85999999999</v>
      </c>
      <c r="AU34" s="95">
        <f t="shared" si="16"/>
        <v>315.970122</v>
      </c>
      <c r="AV34" s="98" t="str">
        <f t="shared" si="7"/>
        <v/>
      </c>
      <c r="AW34" s="98" t="str">
        <f t="shared" si="8"/>
        <v/>
      </c>
      <c r="AX34" s="98" t="str">
        <f t="shared" si="9"/>
        <v/>
      </c>
      <c r="AY34" s="98" t="str">
        <f t="shared" si="10"/>
        <v/>
      </c>
      <c r="AZ34" s="98" t="str">
        <f t="shared" si="11"/>
        <v/>
      </c>
      <c r="BA34" s="99" t="str">
        <f t="shared" si="12"/>
        <v/>
      </c>
      <c r="BB34" s="100"/>
      <c r="BC34" s="90"/>
      <c r="BD34" s="90"/>
      <c r="BE34" s="90"/>
      <c r="BF34" s="90"/>
      <c r="BG34" s="90"/>
      <c r="BH34" s="90"/>
      <c r="BI34" s="90"/>
      <c r="BJ34" s="90"/>
    </row>
    <row r="35" spans="1:62" s="101" customFormat="1">
      <c r="A35" s="793"/>
      <c r="B35" s="772" t="s">
        <v>253</v>
      </c>
      <c r="C35" s="726" t="s">
        <v>205</v>
      </c>
      <c r="D35" s="709"/>
      <c r="E35" s="94"/>
      <c r="F35" s="784" t="str">
        <f t="shared" si="1"/>
        <v/>
      </c>
      <c r="G35" s="95">
        <f>D35*(HLOOKUP(Ogolne!$D$6,'Wskazniki emisji elektrycznosc'!$B$8:$G$29,Ogolne!$E$7,TRUE))/1000</f>
        <v>0</v>
      </c>
      <c r="H35" s="93"/>
      <c r="I35" s="94"/>
      <c r="J35" s="784" t="str">
        <f t="shared" si="2"/>
        <v/>
      </c>
      <c r="K35" s="95">
        <f>H35*'Wskazniki emisji paliw'!M$26</f>
        <v>0</v>
      </c>
      <c r="L35" s="93"/>
      <c r="M35" s="94"/>
      <c r="N35" s="95">
        <f>L35*'Wskazniki emisji paliw'!M$27</f>
        <v>0</v>
      </c>
      <c r="O35" s="93"/>
      <c r="P35" s="94"/>
      <c r="Q35" s="95">
        <f>O35*'Wskazniki emisji paliw'!L$17</f>
        <v>0</v>
      </c>
      <c r="R35" s="93"/>
      <c r="S35" s="94"/>
      <c r="T35" s="95">
        <f>R35*'Wskazniki emisji paliw'!L$18</f>
        <v>0</v>
      </c>
      <c r="U35" s="93"/>
      <c r="V35" s="94"/>
      <c r="W35" s="95">
        <f>U35*'Wskazniki emisji paliw'!N$10</f>
        <v>0</v>
      </c>
      <c r="X35" s="93"/>
      <c r="Y35" s="94"/>
      <c r="Z35" s="95">
        <f>X35*'Wskazniki emisji paliw'!N$11</f>
        <v>0</v>
      </c>
      <c r="AA35" s="93"/>
      <c r="AB35" s="94"/>
      <c r="AC35" s="95">
        <f>AA35*'Wskazniki emisji paliw'!L$21</f>
        <v>0</v>
      </c>
      <c r="AD35" s="93"/>
      <c r="AE35" s="94"/>
      <c r="AF35" s="95">
        <f>AD35*'Wskazniki emisji paliw'!L$20</f>
        <v>0</v>
      </c>
      <c r="AG35" s="93"/>
      <c r="AH35" s="94"/>
      <c r="AI35" s="95">
        <f>AG35*'Wskazniki emisji paliw'!N$13</f>
        <v>0</v>
      </c>
      <c r="AJ35" s="93"/>
      <c r="AK35" s="94"/>
      <c r="AL35" s="777" t="str">
        <f t="shared" si="3"/>
        <v/>
      </c>
      <c r="AM35" s="96">
        <f>AJ35*'Wskazniki emisji paliw'!K$35</f>
        <v>0</v>
      </c>
      <c r="AN35" s="5"/>
      <c r="AO35" s="91" t="str">
        <f t="shared" si="13"/>
        <v>Tramwaj Fordon Sp. z o.o.</v>
      </c>
      <c r="AP35" s="91" t="str">
        <f t="shared" si="14"/>
        <v>TF</v>
      </c>
      <c r="AQ35" s="97"/>
      <c r="AR35" s="97"/>
      <c r="AS35" s="97"/>
      <c r="AT35" s="94">
        <f t="shared" si="15"/>
        <v>0</v>
      </c>
      <c r="AU35" s="95">
        <f t="shared" si="16"/>
        <v>0</v>
      </c>
      <c r="AV35" s="98" t="str">
        <f t="shared" si="7"/>
        <v/>
      </c>
      <c r="AW35" s="98" t="str">
        <f t="shared" si="8"/>
        <v/>
      </c>
      <c r="AX35" s="98" t="str">
        <f t="shared" si="9"/>
        <v/>
      </c>
      <c r="AY35" s="98" t="str">
        <f t="shared" si="10"/>
        <v/>
      </c>
      <c r="AZ35" s="98" t="str">
        <f t="shared" si="11"/>
        <v/>
      </c>
      <c r="BA35" s="99" t="str">
        <f t="shared" si="12"/>
        <v/>
      </c>
      <c r="BB35" s="100" t="s">
        <v>283</v>
      </c>
      <c r="BC35" s="90"/>
      <c r="BD35" s="90"/>
      <c r="BE35" s="90"/>
      <c r="BF35" s="90"/>
      <c r="BG35" s="90"/>
      <c r="BH35" s="90"/>
      <c r="BI35" s="90"/>
      <c r="BJ35" s="90"/>
    </row>
    <row r="36" spans="1:62" s="101" customFormat="1">
      <c r="A36" s="793"/>
      <c r="B36" s="713" t="s">
        <v>254</v>
      </c>
      <c r="C36" s="726" t="s">
        <v>219</v>
      </c>
      <c r="D36" s="709">
        <v>960390</v>
      </c>
      <c r="E36" s="94">
        <v>332820.43</v>
      </c>
      <c r="F36" s="784">
        <f t="shared" si="1"/>
        <v>0.34654716313164441</v>
      </c>
      <c r="G36" s="95">
        <f>D36*(HLOOKUP(Ogolne!$D$6,'Wskazniki emisji elektrycznosc'!$B$8:$G$29,Ogolne!$E$7,TRUE))/1000</f>
        <v>943.10298</v>
      </c>
      <c r="H36" s="93">
        <v>107242</v>
      </c>
      <c r="I36" s="94">
        <v>112577.52</v>
      </c>
      <c r="J36" s="784">
        <f t="shared" si="2"/>
        <v>1.0497521493444733</v>
      </c>
      <c r="K36" s="95">
        <f>H36*'Wskazniki emisji paliw'!M$26</f>
        <v>777.7511203095977</v>
      </c>
      <c r="L36" s="93"/>
      <c r="M36" s="94"/>
      <c r="N36" s="95">
        <f>L36*'Wskazniki emisji paliw'!M$27</f>
        <v>0</v>
      </c>
      <c r="O36" s="93">
        <v>7710</v>
      </c>
      <c r="P36" s="94">
        <v>16191</v>
      </c>
      <c r="Q36" s="95">
        <f>O36*'Wskazniki emisji paliw'!L$17</f>
        <v>21.359297421899999</v>
      </c>
      <c r="R36" s="93"/>
      <c r="S36" s="94"/>
      <c r="T36" s="95">
        <f>R36*'Wskazniki emisji paliw'!L$18</f>
        <v>0</v>
      </c>
      <c r="U36" s="93"/>
      <c r="V36" s="94"/>
      <c r="W36" s="95">
        <f>U36*'Wskazniki emisji paliw'!N$10</f>
        <v>0</v>
      </c>
      <c r="X36" s="93"/>
      <c r="Y36" s="94"/>
      <c r="Z36" s="95">
        <f>X36*'Wskazniki emisji paliw'!N$11</f>
        <v>0</v>
      </c>
      <c r="AA36" s="93"/>
      <c r="AB36" s="94"/>
      <c r="AC36" s="95">
        <f>AA36*'Wskazniki emisji paliw'!L$21</f>
        <v>0</v>
      </c>
      <c r="AD36" s="93"/>
      <c r="AE36" s="94"/>
      <c r="AF36" s="95">
        <f>AD36*'Wskazniki emisji paliw'!L$20</f>
        <v>0</v>
      </c>
      <c r="AG36" s="93"/>
      <c r="AH36" s="94"/>
      <c r="AI36" s="95">
        <f>AG36*'Wskazniki emisji paliw'!N$13</f>
        <v>0</v>
      </c>
      <c r="AJ36" s="93">
        <v>1181.6666666666667</v>
      </c>
      <c r="AK36" s="94">
        <v>199098.81</v>
      </c>
      <c r="AL36" s="777">
        <f t="shared" si="3"/>
        <v>168.48982510578278</v>
      </c>
      <c r="AM36" s="96">
        <f>AJ36*'Wskazniki emisji paliw'!K$35</f>
        <v>382.86</v>
      </c>
      <c r="AN36" s="5"/>
      <c r="AO36" s="91" t="str">
        <f t="shared" si="13"/>
        <v>Wielospecjalistyczny Szpital Miejski im. dr Emila Warmińskiego SPZOZ w Bydgoszczy</v>
      </c>
      <c r="AP36" s="91" t="str">
        <f t="shared" si="14"/>
        <v>WSM</v>
      </c>
      <c r="AQ36" s="97">
        <v>43800</v>
      </c>
      <c r="AR36" s="757">
        <v>247</v>
      </c>
      <c r="AS36" s="97">
        <v>33438.400000000001</v>
      </c>
      <c r="AT36" s="94">
        <f t="shared" si="15"/>
        <v>660687.76</v>
      </c>
      <c r="AU36" s="95">
        <f t="shared" si="16"/>
        <v>2125.0733977314976</v>
      </c>
      <c r="AV36" s="98">
        <f t="shared" si="7"/>
        <v>15.084195433789954</v>
      </c>
      <c r="AW36" s="98">
        <f t="shared" si="8"/>
        <v>2674.8492307692309</v>
      </c>
      <c r="AX36" s="98">
        <f t="shared" si="9"/>
        <v>19.758354466720895</v>
      </c>
      <c r="AY36" s="98">
        <f t="shared" si="10"/>
        <v>4.8517657482454284E-2</v>
      </c>
      <c r="AZ36" s="98">
        <f t="shared" si="11"/>
        <v>8.6035360232044429</v>
      </c>
      <c r="BA36" s="99">
        <f t="shared" si="12"/>
        <v>6.3551886386056078E-2</v>
      </c>
      <c r="BB36" s="100"/>
      <c r="BC36" s="90"/>
      <c r="BD36" s="90"/>
      <c r="BE36" s="90"/>
      <c r="BF36" s="90"/>
      <c r="BG36" s="90"/>
      <c r="BH36" s="90"/>
      <c r="BI36" s="90"/>
      <c r="BJ36" s="90"/>
    </row>
    <row r="37" spans="1:62" s="101" customFormat="1">
      <c r="A37" s="793"/>
      <c r="B37" s="772" t="s">
        <v>300</v>
      </c>
      <c r="C37" s="726" t="s">
        <v>301</v>
      </c>
      <c r="D37" s="761">
        <v>1178390</v>
      </c>
      <c r="E37" s="94">
        <v>627576.90999999992</v>
      </c>
      <c r="F37" s="784">
        <f t="shared" si="1"/>
        <v>0.53257148312528102</v>
      </c>
      <c r="G37" s="95">
        <f>D37*(HLOOKUP(Ogolne!$D$6,'Wskazniki emisji elektrycznosc'!$B$8:$G$29,Ogolne!$E$7,TRUE))/1000</f>
        <v>1157.1789799999999</v>
      </c>
      <c r="H37" s="762">
        <v>10500</v>
      </c>
      <c r="I37" s="94">
        <v>7522</v>
      </c>
      <c r="J37" s="784">
        <f t="shared" si="2"/>
        <v>0.71638095238095234</v>
      </c>
      <c r="K37" s="95">
        <f>H37*'Wskazniki emisji paliw'!M$26</f>
        <v>76.149146446828439</v>
      </c>
      <c r="L37" s="93"/>
      <c r="M37" s="94"/>
      <c r="N37" s="95">
        <f>L37*'Wskazniki emisji paliw'!M$27</f>
        <v>0</v>
      </c>
      <c r="O37" s="93"/>
      <c r="P37" s="94"/>
      <c r="Q37" s="95">
        <f>O37*'Wskazniki emisji paliw'!L$17</f>
        <v>0</v>
      </c>
      <c r="R37" s="93"/>
      <c r="S37" s="94"/>
      <c r="T37" s="95">
        <f>R37*'Wskazniki emisji paliw'!L$18</f>
        <v>0</v>
      </c>
      <c r="U37" s="93"/>
      <c r="V37" s="94"/>
      <c r="W37" s="95">
        <f>U37*'Wskazniki emisji paliw'!N$10</f>
        <v>0</v>
      </c>
      <c r="X37" s="93"/>
      <c r="Y37" s="94"/>
      <c r="Z37" s="95">
        <f>X37*'Wskazniki emisji paliw'!N$11</f>
        <v>0</v>
      </c>
      <c r="AA37" s="93"/>
      <c r="AB37" s="94"/>
      <c r="AC37" s="95">
        <f>AA37*'Wskazniki emisji paliw'!L$21</f>
        <v>0</v>
      </c>
      <c r="AD37" s="93"/>
      <c r="AE37" s="94"/>
      <c r="AF37" s="95">
        <f>AD37*'Wskazniki emisji paliw'!L$20</f>
        <v>0</v>
      </c>
      <c r="AG37" s="93"/>
      <c r="AH37" s="94"/>
      <c r="AI37" s="95">
        <f>AG37*'Wskazniki emisji paliw'!N$13</f>
        <v>0</v>
      </c>
      <c r="AJ37" s="762">
        <v>9148.1222222222241</v>
      </c>
      <c r="AK37" s="94">
        <v>1185583.6600000001</v>
      </c>
      <c r="AL37" s="777">
        <f t="shared" si="3"/>
        <v>129.59858112958213</v>
      </c>
      <c r="AM37" s="96">
        <f>AJ37*'Wskazniki emisji paliw'!K$35</f>
        <v>2963.9916000000007</v>
      </c>
      <c r="AN37" s="5"/>
      <c r="AO37" s="91" t="str">
        <f t="shared" si="13"/>
        <v xml:space="preserve">Cywilno Wojskowy Związek Sportowy Zawisza Bydgoszcz </v>
      </c>
      <c r="AP37" s="91" t="str">
        <f t="shared" si="14"/>
        <v>CWZS</v>
      </c>
      <c r="AQ37" s="97">
        <v>23608</v>
      </c>
      <c r="AR37" s="97">
        <v>96</v>
      </c>
      <c r="AS37" s="97">
        <v>33086</v>
      </c>
      <c r="AT37" s="94">
        <f t="shared" si="15"/>
        <v>1820682.57</v>
      </c>
      <c r="AU37" s="95">
        <f t="shared" si="16"/>
        <v>4197.319726446829</v>
      </c>
      <c r="AV37" s="98">
        <f t="shared" si="7"/>
        <v>77.121423669942402</v>
      </c>
      <c r="AW37" s="98">
        <f t="shared" si="8"/>
        <v>18965.443437500002</v>
      </c>
      <c r="AX37" s="98">
        <f t="shared" si="9"/>
        <v>55.028790727195798</v>
      </c>
      <c r="AY37" s="98">
        <f t="shared" si="10"/>
        <v>0.17779226221818151</v>
      </c>
      <c r="AZ37" s="98">
        <f t="shared" si="11"/>
        <v>43.722080483821138</v>
      </c>
      <c r="BA37" s="99">
        <f t="shared" si="12"/>
        <v>0.12686089966894848</v>
      </c>
      <c r="BB37" s="100" t="s">
        <v>305</v>
      </c>
      <c r="BC37" s="90"/>
      <c r="BD37" s="90"/>
      <c r="BE37" s="90"/>
      <c r="BF37" s="90"/>
      <c r="BG37" s="90"/>
      <c r="BH37" s="90"/>
      <c r="BI37" s="90"/>
      <c r="BJ37" s="90"/>
    </row>
    <row r="38" spans="1:62" s="101" customFormat="1" ht="33.75">
      <c r="A38" s="794"/>
      <c r="B38" s="713" t="s">
        <v>238</v>
      </c>
      <c r="C38" s="726" t="s">
        <v>184</v>
      </c>
      <c r="D38" s="709">
        <v>124036</v>
      </c>
      <c r="E38" s="94">
        <v>76539.47</v>
      </c>
      <c r="F38" s="784">
        <f t="shared" si="1"/>
        <v>0.61707463962075526</v>
      </c>
      <c r="G38" s="95">
        <f>D38*(HLOOKUP(Ogolne!$D$6,'Wskazniki emisji elektrycznosc'!$B$8:$G$29,Ogolne!$E$7,TRUE))/1000</f>
        <v>121.803352</v>
      </c>
      <c r="H38" s="93"/>
      <c r="I38" s="94"/>
      <c r="J38" s="784" t="str">
        <f t="shared" si="2"/>
        <v/>
      </c>
      <c r="K38" s="95">
        <f>H38*'Wskazniki emisji paliw'!M$26</f>
        <v>0</v>
      </c>
      <c r="L38" s="93"/>
      <c r="M38" s="94"/>
      <c r="N38" s="95">
        <f>L38*'Wskazniki emisji paliw'!M$27</f>
        <v>0</v>
      </c>
      <c r="O38" s="93"/>
      <c r="P38" s="94"/>
      <c r="Q38" s="95">
        <f>O38*'Wskazniki emisji paliw'!L$17</f>
        <v>0</v>
      </c>
      <c r="R38" s="93"/>
      <c r="S38" s="94"/>
      <c r="T38" s="95">
        <f>R38*'Wskazniki emisji paliw'!L$18</f>
        <v>0</v>
      </c>
      <c r="U38" s="93"/>
      <c r="V38" s="94"/>
      <c r="W38" s="95">
        <f>U38*'Wskazniki emisji paliw'!N$10</f>
        <v>0</v>
      </c>
      <c r="X38" s="93"/>
      <c r="Y38" s="94"/>
      <c r="Z38" s="95">
        <f>X38*'Wskazniki emisji paliw'!N$11</f>
        <v>0</v>
      </c>
      <c r="AA38" s="93"/>
      <c r="AB38" s="94"/>
      <c r="AC38" s="95">
        <f>AA38*'Wskazniki emisji paliw'!L$21</f>
        <v>0</v>
      </c>
      <c r="AD38" s="93"/>
      <c r="AE38" s="94"/>
      <c r="AF38" s="95">
        <f>AD38*'Wskazniki emisji paliw'!L$20</f>
        <v>0</v>
      </c>
      <c r="AG38" s="93"/>
      <c r="AH38" s="94"/>
      <c r="AI38" s="95">
        <f>AG38*'Wskazniki emisji paliw'!N$13</f>
        <v>0</v>
      </c>
      <c r="AJ38" s="93">
        <v>643.33000000000004</v>
      </c>
      <c r="AK38" s="94">
        <v>127311.91</v>
      </c>
      <c r="AL38" s="777">
        <f t="shared" si="3"/>
        <v>197.8951859854196</v>
      </c>
      <c r="AM38" s="96">
        <f>AJ38*'Wskazniki emisji paliw'!K$35</f>
        <v>208.43892000000002</v>
      </c>
      <c r="AN38" s="5"/>
      <c r="AO38" s="91" t="str">
        <f t="shared" si="13"/>
        <v>Wojewódzka i Miejska Biblioteka Publiczna im. dr Witolda Bełzy w Bydgoszczy</v>
      </c>
      <c r="AP38" s="91" t="str">
        <f t="shared" si="14"/>
        <v>BIBLIO</v>
      </c>
      <c r="AQ38" s="97">
        <v>2500</v>
      </c>
      <c r="AR38" s="97">
        <v>300</v>
      </c>
      <c r="AS38" s="97">
        <v>4021</v>
      </c>
      <c r="AT38" s="94">
        <f t="shared" si="15"/>
        <v>203851.38</v>
      </c>
      <c r="AU38" s="95">
        <f t="shared" si="16"/>
        <v>330.24227200000001</v>
      </c>
      <c r="AV38" s="98">
        <f t="shared" si="7"/>
        <v>81.540552000000005</v>
      </c>
      <c r="AW38" s="98">
        <f t="shared" si="8"/>
        <v>679.50459999999998</v>
      </c>
      <c r="AX38" s="98">
        <f t="shared" si="9"/>
        <v>50.696687391196221</v>
      </c>
      <c r="AY38" s="98">
        <f t="shared" si="10"/>
        <v>0.1320969088</v>
      </c>
      <c r="AZ38" s="98">
        <f t="shared" si="11"/>
        <v>1.1008075733333333</v>
      </c>
      <c r="BA38" s="99">
        <f t="shared" si="12"/>
        <v>8.2129388709276302E-2</v>
      </c>
      <c r="BB38" s="100" t="s">
        <v>234</v>
      </c>
      <c r="BC38" s="90"/>
      <c r="BD38" s="90"/>
      <c r="BE38" s="90"/>
      <c r="BF38" s="90"/>
      <c r="BG38" s="90"/>
      <c r="BH38" s="90"/>
      <c r="BI38" s="90"/>
      <c r="BJ38" s="90"/>
    </row>
    <row r="39" spans="1:62" s="101" customFormat="1">
      <c r="A39" s="793"/>
      <c r="B39" s="713" t="s">
        <v>258</v>
      </c>
      <c r="C39" s="726" t="s">
        <v>206</v>
      </c>
      <c r="D39" s="709">
        <v>195993</v>
      </c>
      <c r="E39" s="94">
        <v>75373.850000000006</v>
      </c>
      <c r="F39" s="784">
        <f t="shared" si="1"/>
        <v>0.38457419397631554</v>
      </c>
      <c r="G39" s="95">
        <f>D39*(HLOOKUP(Ogolne!$D$6,'Wskazniki emisji elektrycznosc'!$B$8:$G$29,Ogolne!$E$7,TRUE))/1000</f>
        <v>192.465126</v>
      </c>
      <c r="H39" s="93">
        <v>56521</v>
      </c>
      <c r="I39" s="94">
        <v>70158.97</v>
      </c>
      <c r="J39" s="784">
        <f t="shared" si="2"/>
        <v>1.2412903168733744</v>
      </c>
      <c r="K39" s="95">
        <f>H39*'Wskazniki emisji paliw'!M$26</f>
        <v>409.90722917344669</v>
      </c>
      <c r="L39" s="93"/>
      <c r="M39" s="94"/>
      <c r="N39" s="95">
        <f>L39*'Wskazniki emisji paliw'!M$27</f>
        <v>0</v>
      </c>
      <c r="O39" s="93"/>
      <c r="P39" s="94"/>
      <c r="Q39" s="95">
        <f>O39*'Wskazniki emisji paliw'!L$17</f>
        <v>0</v>
      </c>
      <c r="R39" s="93"/>
      <c r="S39" s="94"/>
      <c r="T39" s="95">
        <f>R39*'Wskazniki emisji paliw'!L$18</f>
        <v>0</v>
      </c>
      <c r="U39" s="93"/>
      <c r="V39" s="94"/>
      <c r="W39" s="95">
        <f>U39*'Wskazniki emisji paliw'!N$10</f>
        <v>0</v>
      </c>
      <c r="X39" s="93"/>
      <c r="Y39" s="94"/>
      <c r="Z39" s="95">
        <f>X39*'Wskazniki emisji paliw'!N$11</f>
        <v>0</v>
      </c>
      <c r="AA39" s="93"/>
      <c r="AB39" s="94"/>
      <c r="AC39" s="95">
        <f>AA39*'Wskazniki emisji paliw'!L$21</f>
        <v>0</v>
      </c>
      <c r="AD39" s="93"/>
      <c r="AE39" s="94"/>
      <c r="AF39" s="95">
        <f>AD39*'Wskazniki emisji paliw'!L$20</f>
        <v>0</v>
      </c>
      <c r="AG39" s="93"/>
      <c r="AH39" s="94"/>
      <c r="AI39" s="95">
        <f>AG39*'Wskazniki emisji paliw'!N$13</f>
        <v>0</v>
      </c>
      <c r="AJ39" s="93">
        <v>328.68333333333334</v>
      </c>
      <c r="AK39" s="94">
        <v>56018.66</v>
      </c>
      <c r="AL39" s="777">
        <f t="shared" si="3"/>
        <v>170.43352771157649</v>
      </c>
      <c r="AM39" s="96">
        <f>AJ39*'Wskazniki emisji paliw'!K$35</f>
        <v>106.49340000000001</v>
      </c>
      <c r="AN39" s="5"/>
      <c r="AO39" s="91" t="str">
        <f t="shared" si="13"/>
        <v>Wydział Edukacji, Urząd Miasta Bydgoszczy  - bursy, schroniska</v>
      </c>
      <c r="AP39" s="91" t="str">
        <f t="shared" si="14"/>
        <v>WE</v>
      </c>
      <c r="AQ39" s="97">
        <v>24696</v>
      </c>
      <c r="AR39" s="97">
        <v>1018</v>
      </c>
      <c r="AS39" s="97">
        <v>9506.0099999999984</v>
      </c>
      <c r="AT39" s="94">
        <f t="shared" si="15"/>
        <v>201551.48</v>
      </c>
      <c r="AU39" s="95">
        <f t="shared" si="16"/>
        <v>708.86575517344681</v>
      </c>
      <c r="AV39" s="98">
        <f t="shared" si="7"/>
        <v>8.16130061548429</v>
      </c>
      <c r="AW39" s="98">
        <f t="shared" si="8"/>
        <v>197.98770137524559</v>
      </c>
      <c r="AX39" s="98">
        <f t="shared" si="9"/>
        <v>21.202531871942071</v>
      </c>
      <c r="AY39" s="98">
        <f t="shared" si="10"/>
        <v>2.8703666795167105E-2</v>
      </c>
      <c r="AZ39" s="98">
        <f t="shared" si="11"/>
        <v>0.69633178307804211</v>
      </c>
      <c r="BA39" s="99">
        <f t="shared" si="12"/>
        <v>7.4570272403821053E-2</v>
      </c>
      <c r="BB39" s="100" t="s">
        <v>431</v>
      </c>
      <c r="BC39" s="90"/>
      <c r="BD39" s="90"/>
      <c r="BE39" s="90"/>
      <c r="BF39" s="90"/>
      <c r="BG39" s="90"/>
      <c r="BH39" s="90"/>
      <c r="BI39" s="90"/>
      <c r="BJ39" s="90"/>
    </row>
    <row r="40" spans="1:62" s="101" customFormat="1">
      <c r="A40" s="793"/>
      <c r="B40" s="713" t="s">
        <v>266</v>
      </c>
      <c r="C40" s="726" t="s">
        <v>206</v>
      </c>
      <c r="D40" s="709">
        <v>422566</v>
      </c>
      <c r="E40" s="94">
        <v>179779.71</v>
      </c>
      <c r="F40" s="784">
        <f t="shared" si="1"/>
        <v>0.4254476460481913</v>
      </c>
      <c r="G40" s="95">
        <f>D40*(HLOOKUP(Ogolne!$D$6,'Wskazniki emisji elektrycznosc'!$B$8:$G$29,Ogolne!$E$7,TRUE))/1000</f>
        <v>414.959812</v>
      </c>
      <c r="H40" s="93">
        <v>30330</v>
      </c>
      <c r="I40" s="94">
        <v>37576.050000000003</v>
      </c>
      <c r="J40" s="784">
        <f t="shared" si="2"/>
        <v>1.2389070227497527</v>
      </c>
      <c r="K40" s="95">
        <f>H40*'Wskazniki emisji paliw'!M$26</f>
        <v>219.96224873641015</v>
      </c>
      <c r="L40" s="93"/>
      <c r="M40" s="94"/>
      <c r="N40" s="95">
        <f>L40*'Wskazniki emisji paliw'!M$27</f>
        <v>0</v>
      </c>
      <c r="O40" s="93"/>
      <c r="P40" s="94"/>
      <c r="Q40" s="95">
        <f>O40*'Wskazniki emisji paliw'!L$17</f>
        <v>0</v>
      </c>
      <c r="R40" s="93"/>
      <c r="S40" s="94"/>
      <c r="T40" s="95">
        <f>R40*'Wskazniki emisji paliw'!L$18</f>
        <v>0</v>
      </c>
      <c r="U40" s="93"/>
      <c r="V40" s="94"/>
      <c r="W40" s="95">
        <f>U40*'Wskazniki emisji paliw'!N$10</f>
        <v>0</v>
      </c>
      <c r="X40" s="93"/>
      <c r="Y40" s="94"/>
      <c r="Z40" s="95">
        <f>X40*'Wskazniki emisji paliw'!N$11</f>
        <v>0</v>
      </c>
      <c r="AA40" s="93"/>
      <c r="AB40" s="94"/>
      <c r="AC40" s="95">
        <f>AA40*'Wskazniki emisji paliw'!L$21</f>
        <v>0</v>
      </c>
      <c r="AD40" s="93"/>
      <c r="AE40" s="94"/>
      <c r="AF40" s="95">
        <f>AD40*'Wskazniki emisji paliw'!L$20</f>
        <v>0</v>
      </c>
      <c r="AG40" s="93"/>
      <c r="AH40" s="94"/>
      <c r="AI40" s="95">
        <f>AG40*'Wskazniki emisji paliw'!N$13</f>
        <v>0</v>
      </c>
      <c r="AJ40" s="93">
        <v>6349.8888888888887</v>
      </c>
      <c r="AK40" s="94">
        <v>1142745.2000000002</v>
      </c>
      <c r="AL40" s="777">
        <f t="shared" si="3"/>
        <v>179.96302297503021</v>
      </c>
      <c r="AM40" s="96">
        <f>AJ40*'Wskazniki emisji paliw'!K$35</f>
        <v>2057.364</v>
      </c>
      <c r="AN40" s="5"/>
      <c r="AO40" s="91" t="str">
        <f t="shared" si="13"/>
        <v>Wydział Edukacji, Urząd Miasta Bydgoszczy  - gimnazja</v>
      </c>
      <c r="AP40" s="91" t="str">
        <f t="shared" si="14"/>
        <v>WE</v>
      </c>
      <c r="AQ40" s="97">
        <v>34816.5</v>
      </c>
      <c r="AR40" s="97">
        <v>7933</v>
      </c>
      <c r="AS40" s="97">
        <v>38749.620000000003</v>
      </c>
      <c r="AT40" s="94">
        <f t="shared" si="15"/>
        <v>1360100.9600000002</v>
      </c>
      <c r="AU40" s="95">
        <f t="shared" si="16"/>
        <v>2692.28606073641</v>
      </c>
      <c r="AV40" s="98">
        <f t="shared" si="7"/>
        <v>39.064838797696503</v>
      </c>
      <c r="AW40" s="98">
        <f t="shared" si="8"/>
        <v>171.44850119752934</v>
      </c>
      <c r="AX40" s="98">
        <f t="shared" si="9"/>
        <v>35.09972381664646</v>
      </c>
      <c r="AY40" s="98">
        <f t="shared" si="10"/>
        <v>7.7327877895147709E-2</v>
      </c>
      <c r="AZ40" s="98">
        <f t="shared" si="11"/>
        <v>0.33937804875033534</v>
      </c>
      <c r="BA40" s="99">
        <f t="shared" si="12"/>
        <v>6.947903129724653E-2</v>
      </c>
      <c r="BB40" s="100" t="s">
        <v>431</v>
      </c>
      <c r="BC40" s="90"/>
      <c r="BD40" s="90"/>
      <c r="BE40" s="90"/>
      <c r="BF40" s="90"/>
      <c r="BG40" s="90"/>
      <c r="BH40" s="90"/>
      <c r="BI40" s="90"/>
      <c r="BJ40" s="90"/>
    </row>
    <row r="41" spans="1:62" s="101" customFormat="1">
      <c r="A41" s="793"/>
      <c r="B41" s="713" t="s">
        <v>259</v>
      </c>
      <c r="C41" s="726" t="s">
        <v>206</v>
      </c>
      <c r="D41" s="709">
        <v>161200</v>
      </c>
      <c r="E41" s="94">
        <v>72711.51999999999</v>
      </c>
      <c r="F41" s="784">
        <f t="shared" si="1"/>
        <v>0.45106401985111655</v>
      </c>
      <c r="G41" s="95">
        <f>D41*(HLOOKUP(Ogolne!$D$6,'Wskazniki emisji elektrycznosc'!$B$8:$G$29,Ogolne!$E$7,TRUE))/1000</f>
        <v>158.29839999999999</v>
      </c>
      <c r="H41" s="93">
        <v>188</v>
      </c>
      <c r="I41" s="94">
        <v>366.28999999999996</v>
      </c>
      <c r="J41" s="784">
        <f t="shared" si="2"/>
        <v>1.948351063829787</v>
      </c>
      <c r="K41" s="95">
        <f>H41*'Wskazniki emisji paliw'!M$26</f>
        <v>1.3634323363813092</v>
      </c>
      <c r="L41" s="93"/>
      <c r="M41" s="94"/>
      <c r="N41" s="95">
        <f>L41*'Wskazniki emisji paliw'!M$27</f>
        <v>0</v>
      </c>
      <c r="O41" s="93"/>
      <c r="P41" s="94"/>
      <c r="Q41" s="95">
        <f>O41*'Wskazniki emisji paliw'!L$17</f>
        <v>0</v>
      </c>
      <c r="R41" s="93"/>
      <c r="S41" s="94"/>
      <c r="T41" s="95">
        <f>R41*'Wskazniki emisji paliw'!L$18</f>
        <v>0</v>
      </c>
      <c r="U41" s="93"/>
      <c r="V41" s="94"/>
      <c r="W41" s="95">
        <f>U41*'Wskazniki emisji paliw'!N$10</f>
        <v>0</v>
      </c>
      <c r="X41" s="93"/>
      <c r="Y41" s="94"/>
      <c r="Z41" s="95">
        <f>X41*'Wskazniki emisji paliw'!N$11</f>
        <v>0</v>
      </c>
      <c r="AA41" s="93"/>
      <c r="AB41" s="94"/>
      <c r="AC41" s="95">
        <f>AA41*'Wskazniki emisji paliw'!L$21</f>
        <v>0</v>
      </c>
      <c r="AD41" s="93"/>
      <c r="AE41" s="94"/>
      <c r="AF41" s="95">
        <f>AD41*'Wskazniki emisji paliw'!L$20</f>
        <v>0</v>
      </c>
      <c r="AG41" s="93"/>
      <c r="AH41" s="94"/>
      <c r="AI41" s="95">
        <f>AG41*'Wskazniki emisji paliw'!N$13</f>
        <v>0</v>
      </c>
      <c r="AJ41" s="93">
        <v>1470.161111111111</v>
      </c>
      <c r="AK41" s="94">
        <v>277364.83</v>
      </c>
      <c r="AL41" s="777">
        <f t="shared" si="3"/>
        <v>188.66288048550993</v>
      </c>
      <c r="AM41" s="96">
        <f>AJ41*'Wskazniki emisji paliw'!K$35</f>
        <v>476.3322</v>
      </c>
      <c r="AN41" s="5"/>
      <c r="AO41" s="91" t="str">
        <f t="shared" ref="AO41:AO60" si="17">B41</f>
        <v>Wydział Edukacji, Urząd Miasta Bydgoszczy  - inne szkoły</v>
      </c>
      <c r="AP41" s="91" t="str">
        <f t="shared" ref="AP41:AP60" si="18">C41</f>
        <v>WE</v>
      </c>
      <c r="AQ41" s="97">
        <v>10572</v>
      </c>
      <c r="AR41" s="97">
        <v>1986</v>
      </c>
      <c r="AS41" s="97">
        <v>7861.7</v>
      </c>
      <c r="AT41" s="94">
        <f t="shared" ref="AT41:AT60" si="19">E41+I41+M41+P41+S41+V41+Y41+AB41+AE41+AH41+AK41</f>
        <v>350442.64</v>
      </c>
      <c r="AU41" s="95">
        <f t="shared" ref="AU41:AU60" si="20">G41+K41+N41+Q41+T41+W41+Z41+AC41+AF41+AI41+AM41</f>
        <v>635.99403233638134</v>
      </c>
      <c r="AV41" s="98">
        <f t="shared" si="7"/>
        <v>33.148187665531594</v>
      </c>
      <c r="AW41" s="98">
        <f t="shared" si="8"/>
        <v>176.45651560926487</v>
      </c>
      <c r="AX41" s="98">
        <f t="shared" si="9"/>
        <v>44.575936502283227</v>
      </c>
      <c r="AY41" s="98">
        <f t="shared" si="10"/>
        <v>6.0158345850963045E-2</v>
      </c>
      <c r="AZ41" s="98">
        <f t="shared" si="11"/>
        <v>0.3202386869770299</v>
      </c>
      <c r="BA41" s="99">
        <f t="shared" si="12"/>
        <v>8.0897774315527346E-2</v>
      </c>
      <c r="BB41" s="100" t="s">
        <v>431</v>
      </c>
      <c r="BC41" s="90"/>
      <c r="BD41" s="90"/>
      <c r="BE41" s="90"/>
      <c r="BF41" s="90"/>
      <c r="BG41" s="90"/>
      <c r="BH41" s="90"/>
      <c r="BI41" s="90"/>
      <c r="BJ41" s="90"/>
    </row>
    <row r="42" spans="1:62" s="101" customFormat="1">
      <c r="A42" s="793"/>
      <c r="B42" s="713" t="s">
        <v>260</v>
      </c>
      <c r="C42" s="726" t="s">
        <v>206</v>
      </c>
      <c r="D42" s="709">
        <v>400053</v>
      </c>
      <c r="E42" s="94">
        <v>160976.24000000002</v>
      </c>
      <c r="F42" s="784">
        <f t="shared" ref="F42:F73" si="21">IFERROR(E42/D42,"")</f>
        <v>0.40238728368491178</v>
      </c>
      <c r="G42" s="95">
        <f>D42*(HLOOKUP(Ogolne!$D$6,'Wskazniki emisji elektrycznosc'!$B$8:$G$29,Ogolne!$E$7,TRUE))/1000</f>
        <v>392.85204599999997</v>
      </c>
      <c r="H42" s="93">
        <v>2115</v>
      </c>
      <c r="I42" s="94">
        <v>2858.88</v>
      </c>
      <c r="J42" s="784">
        <f t="shared" ref="J42:J73" si="22">IFERROR(I42/H42,"")</f>
        <v>1.3517163120567377</v>
      </c>
      <c r="K42" s="95">
        <f>H42*'Wskazniki emisji paliw'!M$26</f>
        <v>15.338613784289729</v>
      </c>
      <c r="L42" s="93"/>
      <c r="M42" s="94"/>
      <c r="N42" s="95">
        <f>L42*'Wskazniki emisji paliw'!M$27</f>
        <v>0</v>
      </c>
      <c r="O42" s="93"/>
      <c r="P42" s="94"/>
      <c r="Q42" s="95">
        <f>O42*'Wskazniki emisji paliw'!L$17</f>
        <v>0</v>
      </c>
      <c r="R42" s="93"/>
      <c r="S42" s="94"/>
      <c r="T42" s="95">
        <f>R42*'Wskazniki emisji paliw'!L$18</f>
        <v>0</v>
      </c>
      <c r="U42" s="93"/>
      <c r="V42" s="94"/>
      <c r="W42" s="95">
        <f>U42*'Wskazniki emisji paliw'!N$10</f>
        <v>0</v>
      </c>
      <c r="X42" s="93"/>
      <c r="Y42" s="94"/>
      <c r="Z42" s="95">
        <f>X42*'Wskazniki emisji paliw'!N$11</f>
        <v>0</v>
      </c>
      <c r="AA42" s="93"/>
      <c r="AB42" s="94"/>
      <c r="AC42" s="95">
        <f>AA42*'Wskazniki emisji paliw'!L$21</f>
        <v>0</v>
      </c>
      <c r="AD42" s="93"/>
      <c r="AE42" s="94"/>
      <c r="AF42" s="95">
        <f>AD42*'Wskazniki emisji paliw'!L$20</f>
        <v>0</v>
      </c>
      <c r="AG42" s="93"/>
      <c r="AH42" s="94"/>
      <c r="AI42" s="95">
        <f>AG42*'Wskazniki emisji paliw'!N$13</f>
        <v>0</v>
      </c>
      <c r="AJ42" s="93">
        <v>2365.4166666666665</v>
      </c>
      <c r="AK42" s="94">
        <v>466558.82</v>
      </c>
      <c r="AL42" s="777">
        <f t="shared" ref="AL42:AL73" si="23">IFERROR(AK42/AJ42,"")</f>
        <v>197.24170653514182</v>
      </c>
      <c r="AM42" s="96">
        <f>AJ42*'Wskazniki emisji paliw'!K$35</f>
        <v>766.39499999999998</v>
      </c>
      <c r="AN42" s="5"/>
      <c r="AO42" s="91" t="str">
        <f t="shared" si="17"/>
        <v>Wydział Edukacji, Urząd Miasta Bydgoszczy  - MDK</v>
      </c>
      <c r="AP42" s="91" t="str">
        <f t="shared" si="18"/>
        <v>WE</v>
      </c>
      <c r="AQ42" s="97">
        <v>18511.5</v>
      </c>
      <c r="AR42" s="97">
        <v>10639</v>
      </c>
      <c r="AS42" s="97">
        <v>10559.320000000002</v>
      </c>
      <c r="AT42" s="94">
        <f t="shared" si="19"/>
        <v>630393.94000000006</v>
      </c>
      <c r="AU42" s="95">
        <f t="shared" si="20"/>
        <v>1174.5856597842896</v>
      </c>
      <c r="AV42" s="98">
        <f t="shared" ref="AV42:AV60" si="24">IFERROR(AT42/AQ42,"")</f>
        <v>34.054179293952409</v>
      </c>
      <c r="AW42" s="98">
        <f t="shared" ref="AW42:AW60" si="25">IFERROR(AT42/AR42,"")</f>
        <v>59.253119654102832</v>
      </c>
      <c r="AX42" s="98">
        <f t="shared" ref="AX42:AX60" si="26">IFERROR(AT42/AS42,"")</f>
        <v>59.70024016698045</v>
      </c>
      <c r="AY42" s="98">
        <f t="shared" ref="AY42:AY60" si="27">IFERROR(AU42/AQ42,"")</f>
        <v>6.3451673812726664E-2</v>
      </c>
      <c r="AZ42" s="98">
        <f t="shared" ref="AZ42:AZ60" si="28">IFERROR(AU42/AR42,"")</f>
        <v>0.11040376537120873</v>
      </c>
      <c r="BA42" s="99">
        <f t="shared" ref="BA42:BA60" si="29">IFERROR(AU42/AS42,"")</f>
        <v>0.11123686561107055</v>
      </c>
      <c r="BB42" s="100" t="s">
        <v>431</v>
      </c>
      <c r="BC42" s="90"/>
      <c r="BD42" s="90"/>
      <c r="BE42" s="90"/>
      <c r="BF42" s="90"/>
      <c r="BG42" s="90"/>
      <c r="BH42" s="90"/>
      <c r="BI42" s="90"/>
      <c r="BJ42" s="90"/>
    </row>
    <row r="43" spans="1:62" s="101" customFormat="1">
      <c r="A43" s="793"/>
      <c r="B43" s="713" t="s">
        <v>261</v>
      </c>
      <c r="C43" s="726" t="s">
        <v>206</v>
      </c>
      <c r="D43" s="709">
        <v>66779</v>
      </c>
      <c r="E43" s="94">
        <v>26331.22</v>
      </c>
      <c r="F43" s="784">
        <f t="shared" si="21"/>
        <v>0.39430389793198461</v>
      </c>
      <c r="G43" s="95">
        <f>D43*(HLOOKUP(Ogolne!$D$6,'Wskazniki emisji elektrycznosc'!$B$8:$G$29,Ogolne!$E$7,TRUE))/1000</f>
        <v>65.576977999999997</v>
      </c>
      <c r="H43" s="93">
        <v>2417</v>
      </c>
      <c r="I43" s="94">
        <v>2956.3</v>
      </c>
      <c r="J43" s="784">
        <f t="shared" si="22"/>
        <v>1.2231278444352505</v>
      </c>
      <c r="K43" s="95">
        <f>H43*'Wskazniki emisji paliw'!M$26</f>
        <v>17.528808282093745</v>
      </c>
      <c r="L43" s="93"/>
      <c r="M43" s="94"/>
      <c r="N43" s="95">
        <f>L43*'Wskazniki emisji paliw'!M$27</f>
        <v>0</v>
      </c>
      <c r="O43" s="93"/>
      <c r="P43" s="94"/>
      <c r="Q43" s="95">
        <f>O43*'Wskazniki emisji paliw'!L$17</f>
        <v>0</v>
      </c>
      <c r="R43" s="93"/>
      <c r="S43" s="94"/>
      <c r="T43" s="95">
        <f>R43*'Wskazniki emisji paliw'!L$18</f>
        <v>0</v>
      </c>
      <c r="U43" s="93"/>
      <c r="V43" s="94"/>
      <c r="W43" s="95">
        <f>U43*'Wskazniki emisji paliw'!N$10</f>
        <v>0</v>
      </c>
      <c r="X43" s="93"/>
      <c r="Y43" s="94"/>
      <c r="Z43" s="95">
        <f>X43*'Wskazniki emisji paliw'!N$11</f>
        <v>0</v>
      </c>
      <c r="AA43" s="93"/>
      <c r="AB43" s="94"/>
      <c r="AC43" s="95">
        <f>AA43*'Wskazniki emisji paliw'!L$21</f>
        <v>0</v>
      </c>
      <c r="AD43" s="93"/>
      <c r="AE43" s="94"/>
      <c r="AF43" s="95">
        <f>AD43*'Wskazniki emisji paliw'!L$20</f>
        <v>0</v>
      </c>
      <c r="AG43" s="93"/>
      <c r="AH43" s="94"/>
      <c r="AI43" s="95">
        <f>AG43*'Wskazniki emisji paliw'!N$13</f>
        <v>0</v>
      </c>
      <c r="AJ43" s="93">
        <v>545.72222222222217</v>
      </c>
      <c r="AK43" s="94">
        <v>88061.4</v>
      </c>
      <c r="AL43" s="777">
        <f t="shared" si="23"/>
        <v>161.36671078082054</v>
      </c>
      <c r="AM43" s="96">
        <f>AJ43*'Wskazniki emisji paliw'!K$35</f>
        <v>176.81399999999999</v>
      </c>
      <c r="AN43" s="5"/>
      <c r="AO43" s="91" t="str">
        <f t="shared" si="17"/>
        <v>Wydział Edukacji, Urząd Miasta Bydgoszczy  - ośrodki</v>
      </c>
      <c r="AP43" s="91" t="str">
        <f t="shared" si="18"/>
        <v>WE</v>
      </c>
      <c r="AQ43" s="97">
        <v>8760</v>
      </c>
      <c r="AR43" s="97">
        <v>376</v>
      </c>
      <c r="AS43" s="97">
        <v>2677</v>
      </c>
      <c r="AT43" s="94">
        <f t="shared" si="19"/>
        <v>117348.92</v>
      </c>
      <c r="AU43" s="95">
        <f t="shared" si="20"/>
        <v>259.91978628209375</v>
      </c>
      <c r="AV43" s="98">
        <f t="shared" si="24"/>
        <v>13.395995433789954</v>
      </c>
      <c r="AW43" s="98">
        <f t="shared" si="25"/>
        <v>312.09819148936168</v>
      </c>
      <c r="AX43" s="98">
        <f t="shared" si="26"/>
        <v>43.835980575270824</v>
      </c>
      <c r="AY43" s="98">
        <f t="shared" si="27"/>
        <v>2.9671208479691069E-2</v>
      </c>
      <c r="AZ43" s="98">
        <f t="shared" si="28"/>
        <v>0.69127602734599403</v>
      </c>
      <c r="BA43" s="99">
        <f t="shared" si="29"/>
        <v>9.7093681838660351E-2</v>
      </c>
      <c r="BB43" s="100" t="s">
        <v>431</v>
      </c>
      <c r="BC43" s="90"/>
      <c r="BD43" s="90"/>
      <c r="BE43" s="90"/>
      <c r="BF43" s="90"/>
      <c r="BG43" s="90"/>
      <c r="BH43" s="90"/>
      <c r="BI43" s="90"/>
      <c r="BJ43" s="90"/>
    </row>
    <row r="44" spans="1:62" s="101" customFormat="1">
      <c r="A44" s="793"/>
      <c r="B44" s="713" t="s">
        <v>262</v>
      </c>
      <c r="C44" s="726" t="s">
        <v>206</v>
      </c>
      <c r="D44" s="709">
        <v>35804</v>
      </c>
      <c r="E44" s="94">
        <v>15046.010000000002</v>
      </c>
      <c r="F44" s="784">
        <f t="shared" si="21"/>
        <v>0.42023265556921019</v>
      </c>
      <c r="G44" s="95">
        <f>D44*(HLOOKUP(Ogolne!$D$6,'Wskazniki emisji elektrycznosc'!$B$8:$G$29,Ogolne!$E$7,TRUE))/1000</f>
        <v>35.159528000000002</v>
      </c>
      <c r="H44" s="93"/>
      <c r="I44" s="94"/>
      <c r="J44" s="784" t="str">
        <f t="shared" si="22"/>
        <v/>
      </c>
      <c r="K44" s="95">
        <f>H44*'Wskazniki emisji paliw'!M$26</f>
        <v>0</v>
      </c>
      <c r="L44" s="93"/>
      <c r="M44" s="94"/>
      <c r="N44" s="95">
        <f>L44*'Wskazniki emisji paliw'!M$27</f>
        <v>0</v>
      </c>
      <c r="O44" s="93"/>
      <c r="P44" s="94"/>
      <c r="Q44" s="95">
        <f>O44*'Wskazniki emisji paliw'!L$17</f>
        <v>0</v>
      </c>
      <c r="R44" s="93"/>
      <c r="S44" s="94"/>
      <c r="T44" s="95">
        <f>R44*'Wskazniki emisji paliw'!L$18</f>
        <v>0</v>
      </c>
      <c r="U44" s="93"/>
      <c r="V44" s="94"/>
      <c r="W44" s="95">
        <f>U44*'Wskazniki emisji paliw'!N$10</f>
        <v>0</v>
      </c>
      <c r="X44" s="93"/>
      <c r="Y44" s="94"/>
      <c r="Z44" s="95">
        <f>X44*'Wskazniki emisji paliw'!N$11</f>
        <v>0</v>
      </c>
      <c r="AA44" s="93"/>
      <c r="AB44" s="94"/>
      <c r="AC44" s="95">
        <f>AA44*'Wskazniki emisji paliw'!L$21</f>
        <v>0</v>
      </c>
      <c r="AD44" s="93"/>
      <c r="AE44" s="94"/>
      <c r="AF44" s="95">
        <f>AD44*'Wskazniki emisji paliw'!L$20</f>
        <v>0</v>
      </c>
      <c r="AG44" s="93"/>
      <c r="AH44" s="94"/>
      <c r="AI44" s="95">
        <f>AG44*'Wskazniki emisji paliw'!N$13</f>
        <v>0</v>
      </c>
      <c r="AJ44" s="93">
        <v>399.55555555555554</v>
      </c>
      <c r="AK44" s="94">
        <v>73237.22</v>
      </c>
      <c r="AL44" s="777">
        <f t="shared" si="23"/>
        <v>183.29671301446052</v>
      </c>
      <c r="AM44" s="96">
        <f>AJ44*'Wskazniki emisji paliw'!K$35</f>
        <v>129.45599999999999</v>
      </c>
      <c r="AN44" s="5"/>
      <c r="AO44" s="91" t="str">
        <f t="shared" si="17"/>
        <v>Wydział Edukacji, Urząd Miasta Bydgoszczy  - poradnie</v>
      </c>
      <c r="AP44" s="91" t="str">
        <f t="shared" si="18"/>
        <v>WE</v>
      </c>
      <c r="AQ44" s="97">
        <v>5401</v>
      </c>
      <c r="AR44" s="97">
        <v>5086</v>
      </c>
      <c r="AS44" s="97">
        <v>2482.02</v>
      </c>
      <c r="AT44" s="94">
        <f t="shared" si="19"/>
        <v>88283.23000000001</v>
      </c>
      <c r="AU44" s="95">
        <f t="shared" si="20"/>
        <v>164.61552799999998</v>
      </c>
      <c r="AV44" s="98">
        <f t="shared" si="24"/>
        <v>16.345719311238661</v>
      </c>
      <c r="AW44" s="98">
        <f t="shared" si="25"/>
        <v>17.358086905230046</v>
      </c>
      <c r="AX44" s="98">
        <f t="shared" si="26"/>
        <v>35.569105003182898</v>
      </c>
      <c r="AY44" s="98">
        <f t="shared" si="27"/>
        <v>3.0478712830957228E-2</v>
      </c>
      <c r="AZ44" s="98">
        <f t="shared" si="28"/>
        <v>3.2366403460479747E-2</v>
      </c>
      <c r="BA44" s="99">
        <f t="shared" si="29"/>
        <v>6.632320770984923E-2</v>
      </c>
      <c r="BB44" s="100" t="s">
        <v>431</v>
      </c>
      <c r="BC44" s="90"/>
      <c r="BD44" s="90"/>
      <c r="BE44" s="90"/>
      <c r="BF44" s="90"/>
      <c r="BG44" s="90"/>
      <c r="BH44" s="90"/>
      <c r="BI44" s="90"/>
      <c r="BJ44" s="90"/>
    </row>
    <row r="45" spans="1:62" s="101" customFormat="1">
      <c r="A45" s="793"/>
      <c r="B45" s="713" t="s">
        <v>263</v>
      </c>
      <c r="C45" s="726" t="s">
        <v>206</v>
      </c>
      <c r="D45" s="709">
        <v>438668.58</v>
      </c>
      <c r="E45" s="94">
        <v>187556.42999999996</v>
      </c>
      <c r="F45" s="784">
        <f t="shared" si="21"/>
        <v>0.42755838587755696</v>
      </c>
      <c r="G45" s="95">
        <f>D45*(HLOOKUP(Ogolne!$D$6,'Wskazniki emisji elektrycznosc'!$B$8:$G$29,Ogolne!$E$7,TRUE))/1000</f>
        <v>430.77254556000003</v>
      </c>
      <c r="H45" s="93">
        <v>78078</v>
      </c>
      <c r="I45" s="94">
        <v>93407.16</v>
      </c>
      <c r="J45" s="784">
        <f t="shared" si="22"/>
        <v>1.1963313609467456</v>
      </c>
      <c r="K45" s="95">
        <f>H45*'Wskazniki emisji paliw'!M$26</f>
        <v>566.24505297861629</v>
      </c>
      <c r="L45" s="93"/>
      <c r="M45" s="94"/>
      <c r="N45" s="95">
        <f>L45*'Wskazniki emisji paliw'!M$27</f>
        <v>0</v>
      </c>
      <c r="O45" s="93">
        <v>10120</v>
      </c>
      <c r="P45" s="94">
        <v>20485.2</v>
      </c>
      <c r="Q45" s="95">
        <f>O45*'Wskazniki emisji paliw'!L$17</f>
        <v>28.035809326799999</v>
      </c>
      <c r="R45" s="93"/>
      <c r="S45" s="94"/>
      <c r="T45" s="95">
        <f>R45*'Wskazniki emisji paliw'!L$18</f>
        <v>0</v>
      </c>
      <c r="U45" s="93"/>
      <c r="V45" s="94"/>
      <c r="W45" s="95">
        <f>U45*'Wskazniki emisji paliw'!N$10</f>
        <v>0</v>
      </c>
      <c r="X45" s="93"/>
      <c r="Y45" s="94"/>
      <c r="Z45" s="95">
        <f>X45*'Wskazniki emisji paliw'!N$11</f>
        <v>0</v>
      </c>
      <c r="AA45" s="93"/>
      <c r="AB45" s="94"/>
      <c r="AC45" s="95">
        <f>AA45*'Wskazniki emisji paliw'!L$21</f>
        <v>0</v>
      </c>
      <c r="AD45" s="93"/>
      <c r="AE45" s="94"/>
      <c r="AF45" s="95">
        <f>AD45*'Wskazniki emisji paliw'!L$20</f>
        <v>0</v>
      </c>
      <c r="AG45" s="93"/>
      <c r="AH45" s="94"/>
      <c r="AI45" s="95">
        <f>AG45*'Wskazniki emisji paliw'!N$13</f>
        <v>0</v>
      </c>
      <c r="AJ45" s="93">
        <v>3539.0166666666664</v>
      </c>
      <c r="AK45" s="94">
        <v>707597.92999999993</v>
      </c>
      <c r="AL45" s="777">
        <f t="shared" si="23"/>
        <v>199.94196033738186</v>
      </c>
      <c r="AM45" s="96">
        <f>AJ45*'Wskazniki emisji paliw'!K$35</f>
        <v>1146.6414</v>
      </c>
      <c r="AN45" s="5"/>
      <c r="AO45" s="91" t="str">
        <f t="shared" si="17"/>
        <v>Wydział Edukacji, Urząd Miasta Bydgoszczy  - przedszkola</v>
      </c>
      <c r="AP45" s="91" t="str">
        <f t="shared" si="18"/>
        <v>WE</v>
      </c>
      <c r="AQ45" s="97">
        <v>62358</v>
      </c>
      <c r="AR45" s="97">
        <v>4934</v>
      </c>
      <c r="AS45" s="97">
        <v>24116.86</v>
      </c>
      <c r="AT45" s="94">
        <f t="shared" si="19"/>
        <v>1009046.72</v>
      </c>
      <c r="AU45" s="95">
        <f t="shared" si="20"/>
        <v>2171.6948078654164</v>
      </c>
      <c r="AV45" s="98">
        <f t="shared" si="24"/>
        <v>16.181511915071042</v>
      </c>
      <c r="AW45" s="98">
        <f t="shared" si="25"/>
        <v>204.50886096473448</v>
      </c>
      <c r="AX45" s="98">
        <f t="shared" si="26"/>
        <v>41.839887945611494</v>
      </c>
      <c r="AY45" s="98">
        <f t="shared" si="27"/>
        <v>3.4826242148006933E-2</v>
      </c>
      <c r="AZ45" s="98">
        <f t="shared" si="28"/>
        <v>0.44014892741496076</v>
      </c>
      <c r="BA45" s="99">
        <f t="shared" si="29"/>
        <v>9.0048820943747082E-2</v>
      </c>
      <c r="BB45" s="100" t="s">
        <v>431</v>
      </c>
      <c r="BC45" s="90"/>
      <c r="BD45" s="90"/>
      <c r="BE45" s="90"/>
      <c r="BF45" s="90"/>
      <c r="BG45" s="90"/>
      <c r="BH45" s="90"/>
      <c r="BI45" s="90"/>
      <c r="BJ45" s="90"/>
    </row>
    <row r="46" spans="1:62" s="101" customFormat="1">
      <c r="A46" s="793"/>
      <c r="B46" s="713" t="s">
        <v>264</v>
      </c>
      <c r="C46" s="726" t="s">
        <v>206</v>
      </c>
      <c r="D46" s="709">
        <v>1524577</v>
      </c>
      <c r="E46" s="94">
        <v>778044.1399999999</v>
      </c>
      <c r="F46" s="784">
        <f t="shared" si="21"/>
        <v>0.51033443374785259</v>
      </c>
      <c r="G46" s="95">
        <f>D46*(HLOOKUP(Ogolne!$D$6,'Wskazniki emisji elektrycznosc'!$B$8:$G$29,Ogolne!$E$7,TRUE))/1000</f>
        <v>1497.1346140000001</v>
      </c>
      <c r="H46" s="93">
        <v>335518</v>
      </c>
      <c r="I46" s="94">
        <v>385463.56999999995</v>
      </c>
      <c r="J46" s="784">
        <f t="shared" si="22"/>
        <v>1.1488610745176113</v>
      </c>
      <c r="K46" s="95">
        <f>H46*'Wskazniki emisji paliw'!M$26</f>
        <v>2433.2770778616177</v>
      </c>
      <c r="L46" s="93"/>
      <c r="M46" s="94"/>
      <c r="N46" s="95">
        <f>L46*'Wskazniki emisji paliw'!M$27</f>
        <v>0</v>
      </c>
      <c r="O46" s="93">
        <v>26670</v>
      </c>
      <c r="P46" s="94">
        <v>55742.04</v>
      </c>
      <c r="Q46" s="95">
        <f>O46*'Wskazniki emisji paliw'!L$17</f>
        <v>73.88488485629999</v>
      </c>
      <c r="R46" s="93"/>
      <c r="S46" s="94"/>
      <c r="T46" s="95">
        <f>R46*'Wskazniki emisji paliw'!L$18</f>
        <v>0</v>
      </c>
      <c r="U46" s="93"/>
      <c r="V46" s="94"/>
      <c r="W46" s="95">
        <f>U46*'Wskazniki emisji paliw'!N$10</f>
        <v>0</v>
      </c>
      <c r="X46" s="93"/>
      <c r="Y46" s="94"/>
      <c r="Z46" s="95">
        <f>X46*'Wskazniki emisji paliw'!N$11</f>
        <v>0</v>
      </c>
      <c r="AA46" s="93"/>
      <c r="AB46" s="94"/>
      <c r="AC46" s="95">
        <f>AA46*'Wskazniki emisji paliw'!L$21</f>
        <v>0</v>
      </c>
      <c r="AD46" s="93"/>
      <c r="AE46" s="94"/>
      <c r="AF46" s="95">
        <f>AD46*'Wskazniki emisji paliw'!L$20</f>
        <v>0</v>
      </c>
      <c r="AG46" s="93"/>
      <c r="AH46" s="94"/>
      <c r="AI46" s="95">
        <f>AG46*'Wskazniki emisji paliw'!N$13</f>
        <v>0</v>
      </c>
      <c r="AJ46" s="93">
        <v>12195.388888888887</v>
      </c>
      <c r="AK46" s="94">
        <v>1884236.51</v>
      </c>
      <c r="AL46" s="777">
        <f t="shared" si="23"/>
        <v>154.50401189885068</v>
      </c>
      <c r="AM46" s="96">
        <f>AJ46*'Wskazniki emisji paliw'!K$35</f>
        <v>3951.3059999999996</v>
      </c>
      <c r="AN46" s="5"/>
      <c r="AO46" s="91" t="str">
        <f t="shared" si="17"/>
        <v>Wydział Edukacji, Urząd Miasta Bydgoszczy  - szkoły podstawowe</v>
      </c>
      <c r="AP46" s="91" t="str">
        <f t="shared" si="18"/>
        <v>WE</v>
      </c>
      <c r="AQ46" s="97">
        <v>71413</v>
      </c>
      <c r="AR46" s="97">
        <v>10927</v>
      </c>
      <c r="AS46" s="97">
        <v>88669.61</v>
      </c>
      <c r="AT46" s="94">
        <f t="shared" si="19"/>
        <v>3103486.26</v>
      </c>
      <c r="AU46" s="95">
        <f t="shared" si="20"/>
        <v>7955.6025767179171</v>
      </c>
      <c r="AV46" s="98">
        <f t="shared" si="24"/>
        <v>43.458281545376892</v>
      </c>
      <c r="AW46" s="98">
        <f t="shared" si="25"/>
        <v>284.01997437540035</v>
      </c>
      <c r="AX46" s="98">
        <f t="shared" si="26"/>
        <v>35.000562876051895</v>
      </c>
      <c r="AY46" s="98">
        <f t="shared" si="27"/>
        <v>0.11140272186741794</v>
      </c>
      <c r="AZ46" s="98">
        <f t="shared" si="28"/>
        <v>0.72806832403385346</v>
      </c>
      <c r="BA46" s="99">
        <f t="shared" si="29"/>
        <v>8.9721862729721227E-2</v>
      </c>
      <c r="BB46" s="100" t="s">
        <v>431</v>
      </c>
      <c r="BC46" s="90"/>
      <c r="BD46" s="90"/>
      <c r="BE46" s="90"/>
      <c r="BF46" s="90"/>
      <c r="BG46" s="90"/>
      <c r="BH46" s="90"/>
      <c r="BI46" s="90"/>
      <c r="BJ46" s="90"/>
    </row>
    <row r="47" spans="1:62" s="101" customFormat="1">
      <c r="A47" s="793"/>
      <c r="B47" s="713" t="s">
        <v>265</v>
      </c>
      <c r="C47" s="726" t="s">
        <v>206</v>
      </c>
      <c r="D47" s="709">
        <v>5115169.38</v>
      </c>
      <c r="E47" s="94">
        <v>2320345.62</v>
      </c>
      <c r="F47" s="784">
        <f t="shared" si="21"/>
        <v>0.45362048597499233</v>
      </c>
      <c r="G47" s="95">
        <f>D47*(HLOOKUP(Ogolne!$D$6,'Wskazniki emisji elektrycznosc'!$B$8:$G$29,Ogolne!$E$7,TRUE))/1000</f>
        <v>5023.0963311599999</v>
      </c>
      <c r="H47" s="93">
        <v>459274</v>
      </c>
      <c r="I47" s="94">
        <v>553432.18000000005</v>
      </c>
      <c r="J47" s="784">
        <f t="shared" si="22"/>
        <v>1.2050152632197775</v>
      </c>
      <c r="K47" s="95">
        <f>H47*'Wskazniki emisji paliw'!M$26</f>
        <v>3330.7926747829224</v>
      </c>
      <c r="L47" s="93"/>
      <c r="M47" s="94"/>
      <c r="N47" s="95">
        <f>L47*'Wskazniki emisji paliw'!M$27</f>
        <v>0</v>
      </c>
      <c r="O47" s="93">
        <v>33692</v>
      </c>
      <c r="P47" s="94">
        <v>69667.47</v>
      </c>
      <c r="Q47" s="95"/>
      <c r="R47" s="93"/>
      <c r="S47" s="94"/>
      <c r="T47" s="95">
        <f>R47*'Wskazniki emisji paliw'!L$18</f>
        <v>0</v>
      </c>
      <c r="U47" s="93"/>
      <c r="V47" s="94"/>
      <c r="W47" s="95">
        <f>U47*'Wskazniki emisji paliw'!N$10</f>
        <v>0</v>
      </c>
      <c r="X47" s="93"/>
      <c r="Y47" s="94"/>
      <c r="Z47" s="95">
        <f>X47*'Wskazniki emisji paliw'!N$11</f>
        <v>0</v>
      </c>
      <c r="AA47" s="93"/>
      <c r="AB47" s="94"/>
      <c r="AC47" s="95">
        <f>AA47*'Wskazniki emisji paliw'!L$21</f>
        <v>0</v>
      </c>
      <c r="AD47" s="93"/>
      <c r="AE47" s="94"/>
      <c r="AF47" s="95">
        <f>AD47*'Wskazniki emisji paliw'!L$20</f>
        <v>0</v>
      </c>
      <c r="AG47" s="93"/>
      <c r="AH47" s="94"/>
      <c r="AI47" s="95">
        <f>AG47*'Wskazniki emisji paliw'!N$13</f>
        <v>0</v>
      </c>
      <c r="AJ47" s="93">
        <v>36615.619444444441</v>
      </c>
      <c r="AK47" s="94">
        <v>7129374.0499999998</v>
      </c>
      <c r="AL47" s="777">
        <f t="shared" si="23"/>
        <v>194.70854673965414</v>
      </c>
      <c r="AM47" s="96">
        <f>AJ47*'Wskazniki emisji paliw'!K$35</f>
        <v>11863.4607</v>
      </c>
      <c r="AN47" s="5"/>
      <c r="AO47" s="91" t="str">
        <f t="shared" si="17"/>
        <v>Wydział Edukacji, Urząd Miasta Bydgoszczy  - zespoły szkół</v>
      </c>
      <c r="AP47" s="91" t="str">
        <f t="shared" si="18"/>
        <v>WE</v>
      </c>
      <c r="AQ47" s="97">
        <v>218447.3</v>
      </c>
      <c r="AR47" s="97">
        <v>42042</v>
      </c>
      <c r="AS47" s="97">
        <v>253652.03999999998</v>
      </c>
      <c r="AT47" s="94">
        <f t="shared" si="19"/>
        <v>10072819.32</v>
      </c>
      <c r="AU47" s="95">
        <f t="shared" si="20"/>
        <v>20217.349705942921</v>
      </c>
      <c r="AV47" s="98">
        <f t="shared" si="24"/>
        <v>46.110981092464868</v>
      </c>
      <c r="AW47" s="98">
        <f t="shared" si="25"/>
        <v>239.58944198658486</v>
      </c>
      <c r="AX47" s="98">
        <f t="shared" si="26"/>
        <v>39.711170152623261</v>
      </c>
      <c r="AY47" s="98">
        <f t="shared" si="27"/>
        <v>9.2550238459998921E-2</v>
      </c>
      <c r="AZ47" s="98">
        <f t="shared" si="28"/>
        <v>0.48088458460451267</v>
      </c>
      <c r="BA47" s="99">
        <f t="shared" si="29"/>
        <v>7.9705054632885755E-2</v>
      </c>
      <c r="BB47" s="100" t="s">
        <v>431</v>
      </c>
      <c r="BC47" s="90"/>
      <c r="BD47" s="90"/>
      <c r="BE47" s="90"/>
      <c r="BF47" s="90"/>
      <c r="BG47" s="90"/>
      <c r="BH47" s="90"/>
      <c r="BI47" s="90"/>
      <c r="BJ47" s="90"/>
    </row>
    <row r="48" spans="1:62" s="101" customFormat="1">
      <c r="A48" s="793"/>
      <c r="B48" s="713" t="s">
        <v>255</v>
      </c>
      <c r="C48" s="726" t="s">
        <v>207</v>
      </c>
      <c r="D48" s="709">
        <v>1173048</v>
      </c>
      <c r="E48" s="94">
        <v>427791.65999999992</v>
      </c>
      <c r="F48" s="784">
        <f t="shared" si="21"/>
        <v>0.3646838492542504</v>
      </c>
      <c r="G48" s="95">
        <f>D48*(HLOOKUP(Ogolne!$D$6,'Wskazniki emisji elektrycznosc'!$B$8:$G$29,Ogolne!$E$7,TRUE))/1000</f>
        <v>1151.9331359999999</v>
      </c>
      <c r="H48" s="93"/>
      <c r="I48" s="94"/>
      <c r="J48" s="784" t="str">
        <f t="shared" si="22"/>
        <v/>
      </c>
      <c r="K48" s="95">
        <f>H48*'Wskazniki emisji paliw'!M$26</f>
        <v>0</v>
      </c>
      <c r="L48" s="93"/>
      <c r="M48" s="94"/>
      <c r="N48" s="95">
        <f>L48*'Wskazniki emisji paliw'!M$27</f>
        <v>0</v>
      </c>
      <c r="O48" s="93"/>
      <c r="P48" s="94"/>
      <c r="Q48" s="95">
        <f>O48*'Wskazniki emisji paliw'!L$17</f>
        <v>0</v>
      </c>
      <c r="R48" s="93"/>
      <c r="S48" s="94"/>
      <c r="T48" s="95">
        <f>R48*'Wskazniki emisji paliw'!L$18</f>
        <v>0</v>
      </c>
      <c r="U48" s="93"/>
      <c r="V48" s="94"/>
      <c r="W48" s="95">
        <f>U48*'Wskazniki emisji paliw'!N$10</f>
        <v>0</v>
      </c>
      <c r="X48" s="93"/>
      <c r="Y48" s="94"/>
      <c r="Z48" s="95">
        <f>X48*'Wskazniki emisji paliw'!N$11</f>
        <v>0</v>
      </c>
      <c r="AA48" s="93"/>
      <c r="AB48" s="94"/>
      <c r="AC48" s="95">
        <f>AA48*'Wskazniki emisji paliw'!L$21</f>
        <v>0</v>
      </c>
      <c r="AD48" s="93"/>
      <c r="AE48" s="94"/>
      <c r="AF48" s="95">
        <f>AD48*'Wskazniki emisji paliw'!L$20</f>
        <v>0</v>
      </c>
      <c r="AG48" s="93"/>
      <c r="AH48" s="94"/>
      <c r="AI48" s="95">
        <f>AG48*'Wskazniki emisji paliw'!N$13</f>
        <v>0</v>
      </c>
      <c r="AJ48" s="93">
        <v>3307.2222222222222</v>
      </c>
      <c r="AK48" s="94">
        <v>633116.12</v>
      </c>
      <c r="AL48" s="777">
        <f t="shared" si="23"/>
        <v>191.43440550982697</v>
      </c>
      <c r="AM48" s="96">
        <f>AJ48*'Wskazniki emisji paliw'!K$35</f>
        <v>1071.54</v>
      </c>
      <c r="AN48" s="5"/>
      <c r="AO48" s="91" t="str">
        <f t="shared" si="17"/>
        <v>Wydział Obsługi Urzędu, Urząd Miasta Bydgoszczy</v>
      </c>
      <c r="AP48" s="91" t="str">
        <f t="shared" si="18"/>
        <v>WOU</v>
      </c>
      <c r="AQ48" s="97">
        <v>22022</v>
      </c>
      <c r="AR48" s="97">
        <v>932</v>
      </c>
      <c r="AS48" s="97">
        <v>25078.639999999999</v>
      </c>
      <c r="AT48" s="94">
        <f t="shared" si="19"/>
        <v>1060907.7799999998</v>
      </c>
      <c r="AU48" s="95">
        <f t="shared" si="20"/>
        <v>2223.4731359999996</v>
      </c>
      <c r="AV48" s="98">
        <f t="shared" si="24"/>
        <v>48.174906003087813</v>
      </c>
      <c r="AW48" s="98">
        <f t="shared" si="25"/>
        <v>1138.3130686695276</v>
      </c>
      <c r="AX48" s="98">
        <f t="shared" si="26"/>
        <v>42.303242121582343</v>
      </c>
      <c r="AY48" s="98">
        <f t="shared" si="27"/>
        <v>0.10096599473254017</v>
      </c>
      <c r="AZ48" s="98">
        <f t="shared" si="28"/>
        <v>2.3857007896995706</v>
      </c>
      <c r="BA48" s="99">
        <f t="shared" si="29"/>
        <v>8.8660036429407646E-2</v>
      </c>
      <c r="BB48" s="100"/>
      <c r="BC48" s="90"/>
      <c r="BD48" s="90"/>
      <c r="BE48" s="90"/>
      <c r="BF48" s="90"/>
      <c r="BG48" s="90"/>
      <c r="BH48" s="90"/>
      <c r="BI48" s="90"/>
      <c r="BJ48" s="90"/>
    </row>
    <row r="49" spans="1:62" s="101" customFormat="1">
      <c r="A49" s="793"/>
      <c r="B49" s="713" t="s">
        <v>209</v>
      </c>
      <c r="C49" s="726" t="s">
        <v>210</v>
      </c>
      <c r="D49" s="709">
        <v>517254</v>
      </c>
      <c r="E49" s="94">
        <v>145865.60999999999</v>
      </c>
      <c r="F49" s="784">
        <f t="shared" si="21"/>
        <v>0.28199996520084908</v>
      </c>
      <c r="G49" s="95">
        <f>D49*(HLOOKUP(Ogolne!$D$6,'Wskazniki emisji elektrycznosc'!$B$8:$G$29,Ogolne!$E$7,TRUE))/1000</f>
        <v>507.94342800000004</v>
      </c>
      <c r="H49" s="93"/>
      <c r="I49" s="94"/>
      <c r="J49" s="784" t="str">
        <f t="shared" si="22"/>
        <v/>
      </c>
      <c r="K49" s="95">
        <f>H49*'Wskazniki emisji paliw'!M$26</f>
        <v>0</v>
      </c>
      <c r="L49" s="93"/>
      <c r="M49" s="94"/>
      <c r="N49" s="95">
        <f>L49*'Wskazniki emisji paliw'!M$27</f>
        <v>0</v>
      </c>
      <c r="O49" s="93">
        <v>8185.26</v>
      </c>
      <c r="P49" s="94">
        <v>21527.71</v>
      </c>
      <c r="Q49" s="95">
        <f>O49*'Wskazniki emisji paliw'!L$17</f>
        <v>22.675927732241401</v>
      </c>
      <c r="R49" s="93"/>
      <c r="S49" s="94"/>
      <c r="T49" s="95">
        <f>R49*'Wskazniki emisji paliw'!L$18</f>
        <v>0</v>
      </c>
      <c r="U49" s="93"/>
      <c r="V49" s="94"/>
      <c r="W49" s="95">
        <f>U49*'Wskazniki emisji paliw'!N$10</f>
        <v>0</v>
      </c>
      <c r="X49" s="93"/>
      <c r="Y49" s="94"/>
      <c r="Z49" s="95">
        <f>X49*'Wskazniki emisji paliw'!N$11</f>
        <v>0</v>
      </c>
      <c r="AA49" s="93"/>
      <c r="AB49" s="94"/>
      <c r="AC49" s="95">
        <f>AA49*'Wskazniki emisji paliw'!L$21</f>
        <v>0</v>
      </c>
      <c r="AD49" s="93"/>
      <c r="AE49" s="94"/>
      <c r="AF49" s="95">
        <f>AD49*'Wskazniki emisji paliw'!L$20</f>
        <v>0</v>
      </c>
      <c r="AG49" s="93"/>
      <c r="AH49" s="94"/>
      <c r="AI49" s="95">
        <f>AG49*'Wskazniki emisji paliw'!N$13</f>
        <v>0</v>
      </c>
      <c r="AJ49" s="93">
        <v>416.66666666666663</v>
      </c>
      <c r="AK49" s="94">
        <v>28327.07</v>
      </c>
      <c r="AL49" s="777">
        <f t="shared" si="23"/>
        <v>67.984968000000009</v>
      </c>
      <c r="AM49" s="96">
        <f>AJ49*'Wskazniki emisji paliw'!K$35</f>
        <v>135</v>
      </c>
      <c r="AN49" s="5"/>
      <c r="AO49" s="91" t="str">
        <f t="shared" si="17"/>
        <v>Zakład Robót Publicznych</v>
      </c>
      <c r="AP49" s="91" t="str">
        <f t="shared" si="18"/>
        <v>ZRP</v>
      </c>
      <c r="AQ49" s="97">
        <v>57340</v>
      </c>
      <c r="AR49" s="97">
        <v>310</v>
      </c>
      <c r="AS49" s="97">
        <v>1228.46</v>
      </c>
      <c r="AT49" s="94">
        <f t="shared" si="19"/>
        <v>195720.38999999998</v>
      </c>
      <c r="AU49" s="95">
        <f t="shared" si="20"/>
        <v>665.61935573224139</v>
      </c>
      <c r="AV49" s="98">
        <f t="shared" si="24"/>
        <v>3.4133308336239971</v>
      </c>
      <c r="AW49" s="98">
        <f t="shared" si="25"/>
        <v>631.35609677419347</v>
      </c>
      <c r="AX49" s="98">
        <f t="shared" si="26"/>
        <v>159.3217442977386</v>
      </c>
      <c r="AY49" s="98">
        <f t="shared" si="27"/>
        <v>1.1608290124385096E-2</v>
      </c>
      <c r="AZ49" s="98">
        <f t="shared" si="28"/>
        <v>2.1471592120394885</v>
      </c>
      <c r="BA49" s="99">
        <f t="shared" si="29"/>
        <v>0.54183233945935672</v>
      </c>
      <c r="BB49" s="100"/>
      <c r="BC49" s="90"/>
      <c r="BD49" s="90"/>
      <c r="BE49" s="90"/>
      <c r="BF49" s="90"/>
      <c r="BG49" s="90"/>
      <c r="BH49" s="90"/>
      <c r="BI49" s="90"/>
      <c r="BJ49" s="90"/>
    </row>
    <row r="50" spans="1:62" s="101" customFormat="1">
      <c r="A50" s="793"/>
      <c r="B50" s="713" t="s">
        <v>256</v>
      </c>
      <c r="C50" s="726" t="s">
        <v>208</v>
      </c>
      <c r="D50" s="709">
        <v>129300</v>
      </c>
      <c r="E50" s="94">
        <v>49129.5</v>
      </c>
      <c r="F50" s="784">
        <f t="shared" si="21"/>
        <v>0.37996519721577726</v>
      </c>
      <c r="G50" s="95">
        <f>D50*(HLOOKUP(Ogolne!$D$6,'Wskazniki emisji elektrycznosc'!$B$8:$G$29,Ogolne!$E$7,TRUE))/1000</f>
        <v>126.97259999999999</v>
      </c>
      <c r="H50" s="93"/>
      <c r="I50" s="94"/>
      <c r="J50" s="784" t="str">
        <f t="shared" si="22"/>
        <v/>
      </c>
      <c r="K50" s="95">
        <f>H50*'Wskazniki emisji paliw'!M$26</f>
        <v>0</v>
      </c>
      <c r="L50" s="93"/>
      <c r="M50" s="94"/>
      <c r="N50" s="95">
        <f>L50*'Wskazniki emisji paliw'!M$27</f>
        <v>0</v>
      </c>
      <c r="O50" s="93"/>
      <c r="P50" s="94"/>
      <c r="Q50" s="95">
        <f>O50*'Wskazniki emisji paliw'!L$17</f>
        <v>0</v>
      </c>
      <c r="R50" s="93"/>
      <c r="S50" s="94"/>
      <c r="T50" s="95">
        <f>R50*'Wskazniki emisji paliw'!L$18</f>
        <v>0</v>
      </c>
      <c r="U50" s="93"/>
      <c r="V50" s="94"/>
      <c r="W50" s="95">
        <f>U50*'Wskazniki emisji paliw'!N$10</f>
        <v>0</v>
      </c>
      <c r="X50" s="93"/>
      <c r="Y50" s="94"/>
      <c r="Z50" s="95">
        <f>X50*'Wskazniki emisji paliw'!N$11</f>
        <v>0</v>
      </c>
      <c r="AA50" s="93"/>
      <c r="AB50" s="94"/>
      <c r="AC50" s="95">
        <f>AA50*'Wskazniki emisji paliw'!L$21</f>
        <v>0</v>
      </c>
      <c r="AD50" s="93"/>
      <c r="AE50" s="94"/>
      <c r="AF50" s="95">
        <f>AD50*'Wskazniki emisji paliw'!L$20</f>
        <v>0</v>
      </c>
      <c r="AG50" s="93"/>
      <c r="AH50" s="94"/>
      <c r="AI50" s="95">
        <f>AG50*'Wskazniki emisji paliw'!N$13</f>
        <v>0</v>
      </c>
      <c r="AJ50" s="93">
        <v>514.72222222222217</v>
      </c>
      <c r="AK50" s="94">
        <v>59876.02</v>
      </c>
      <c r="AL50" s="777">
        <f t="shared" si="23"/>
        <v>116.32686022665948</v>
      </c>
      <c r="AM50" s="96">
        <f>AJ50*'Wskazniki emisji paliw'!K$35</f>
        <v>166.76999999999998</v>
      </c>
      <c r="AN50" s="5"/>
      <c r="AO50" s="91" t="str">
        <f t="shared" si="17"/>
        <v>Zarząd Dróg Miejskich i Komunikacji Publicznej w Bydgoszczy</v>
      </c>
      <c r="AP50" s="91" t="str">
        <f t="shared" si="18"/>
        <v>ZDMIKP</v>
      </c>
      <c r="AQ50" s="97">
        <v>5170</v>
      </c>
      <c r="AR50" s="97">
        <v>161</v>
      </c>
      <c r="AS50" s="97">
        <v>4666.54</v>
      </c>
      <c r="AT50" s="94">
        <f t="shared" si="19"/>
        <v>109005.51999999999</v>
      </c>
      <c r="AU50" s="95">
        <f t="shared" si="20"/>
        <v>293.74259999999998</v>
      </c>
      <c r="AV50" s="98">
        <f t="shared" si="24"/>
        <v>21.08423984526112</v>
      </c>
      <c r="AW50" s="98">
        <f t="shared" si="25"/>
        <v>677.05291925465826</v>
      </c>
      <c r="AX50" s="98">
        <f t="shared" si="26"/>
        <v>23.358959743193026</v>
      </c>
      <c r="AY50" s="98">
        <f t="shared" si="27"/>
        <v>5.6816750483558991E-2</v>
      </c>
      <c r="AZ50" s="98">
        <f t="shared" si="28"/>
        <v>1.8244881987577639</v>
      </c>
      <c r="BA50" s="99">
        <f t="shared" si="29"/>
        <v>6.294655140639531E-2</v>
      </c>
      <c r="BB50" s="100"/>
      <c r="BC50" s="90"/>
      <c r="BD50" s="90"/>
      <c r="BE50" s="90"/>
      <c r="BF50" s="90"/>
      <c r="BG50" s="90"/>
      <c r="BH50" s="90"/>
      <c r="BI50" s="90"/>
      <c r="BJ50" s="90"/>
    </row>
    <row r="51" spans="1:62" s="101" customFormat="1">
      <c r="A51" s="793"/>
      <c r="B51" s="713" t="s">
        <v>211</v>
      </c>
      <c r="C51" s="726" t="s">
        <v>212</v>
      </c>
      <c r="D51" s="709"/>
      <c r="E51" s="94">
        <v>70799.960000000006</v>
      </c>
      <c r="F51" s="784" t="str">
        <f t="shared" si="21"/>
        <v/>
      </c>
      <c r="G51" s="95">
        <f>D51*(HLOOKUP(Ogolne!$D$6,'Wskazniki emisji elektrycznosc'!$B$8:$G$29,Ogolne!$E$7,TRUE))/1000</f>
        <v>0</v>
      </c>
      <c r="H51" s="93">
        <v>38996</v>
      </c>
      <c r="I51" s="94">
        <v>50427</v>
      </c>
      <c r="J51" s="784">
        <f t="shared" si="22"/>
        <v>1.2931326289875884</v>
      </c>
      <c r="K51" s="95">
        <f>H51*'Wskazniki emisji paliw'!M$26</f>
        <v>282.81067760385923</v>
      </c>
      <c r="L51" s="93"/>
      <c r="M51" s="94"/>
      <c r="N51" s="95">
        <f>L51*'Wskazniki emisji paliw'!M$27</f>
        <v>0</v>
      </c>
      <c r="O51" s="93"/>
      <c r="P51" s="94"/>
      <c r="Q51" s="95">
        <f>O51*'Wskazniki emisji paliw'!L$17</f>
        <v>0</v>
      </c>
      <c r="R51" s="93"/>
      <c r="S51" s="94"/>
      <c r="T51" s="95">
        <f>R51*'Wskazniki emisji paliw'!L$18</f>
        <v>0</v>
      </c>
      <c r="U51" s="93"/>
      <c r="V51" s="94"/>
      <c r="W51" s="95">
        <f>U51*'Wskazniki emisji paliw'!N$10</f>
        <v>0</v>
      </c>
      <c r="X51" s="93"/>
      <c r="Y51" s="94"/>
      <c r="Z51" s="95">
        <f>X51*'Wskazniki emisji paliw'!N$11</f>
        <v>0</v>
      </c>
      <c r="AA51" s="93"/>
      <c r="AB51" s="94"/>
      <c r="AC51" s="95">
        <f>AA51*'Wskazniki emisji paliw'!L$21</f>
        <v>0</v>
      </c>
      <c r="AD51" s="93"/>
      <c r="AE51" s="94"/>
      <c r="AF51" s="95">
        <f>AD51*'Wskazniki emisji paliw'!L$20</f>
        <v>0</v>
      </c>
      <c r="AG51" s="93"/>
      <c r="AH51" s="94"/>
      <c r="AI51" s="95">
        <f>AG51*'Wskazniki emisji paliw'!N$13</f>
        <v>0</v>
      </c>
      <c r="AJ51" s="93">
        <v>1558.0555555555554</v>
      </c>
      <c r="AK51" s="94">
        <v>292342.68</v>
      </c>
      <c r="AL51" s="777">
        <f t="shared" si="23"/>
        <v>187.63302692101979</v>
      </c>
      <c r="AM51" s="96">
        <f>AJ51*'Wskazniki emisji paliw'!K$35</f>
        <v>504.81</v>
      </c>
      <c r="AN51" s="5"/>
      <c r="AO51" s="91" t="str">
        <f t="shared" si="17"/>
        <v xml:space="preserve">Zespół Żłobków Miejskich </v>
      </c>
      <c r="AP51" s="91" t="str">
        <f t="shared" si="18"/>
        <v>ZZM</v>
      </c>
      <c r="AQ51" s="97">
        <v>25844</v>
      </c>
      <c r="AR51" s="97">
        <v>599</v>
      </c>
      <c r="AS51" s="97">
        <v>12257</v>
      </c>
      <c r="AT51" s="94">
        <f t="shared" si="19"/>
        <v>413569.64</v>
      </c>
      <c r="AU51" s="95">
        <f t="shared" si="20"/>
        <v>787.62067760385924</v>
      </c>
      <c r="AV51" s="98">
        <f t="shared" si="24"/>
        <v>16.002539854511685</v>
      </c>
      <c r="AW51" s="98">
        <f t="shared" si="25"/>
        <v>690.43345575959938</v>
      </c>
      <c r="AX51" s="98">
        <f t="shared" si="26"/>
        <v>33.741506078159418</v>
      </c>
      <c r="AY51" s="98">
        <f t="shared" si="27"/>
        <v>3.0475958737186937E-2</v>
      </c>
      <c r="AZ51" s="98">
        <f t="shared" si="28"/>
        <v>1.3148926170348234</v>
      </c>
      <c r="BA51" s="99">
        <f t="shared" si="29"/>
        <v>6.4258846178009241E-2</v>
      </c>
      <c r="BB51" s="100"/>
      <c r="BC51" s="90"/>
      <c r="BD51" s="90"/>
      <c r="BE51" s="90"/>
      <c r="BF51" s="90"/>
      <c r="BG51" s="90"/>
      <c r="BH51" s="90"/>
      <c r="BI51" s="90"/>
      <c r="BJ51" s="90"/>
    </row>
    <row r="52" spans="1:62" s="101" customFormat="1">
      <c r="A52" s="793"/>
      <c r="B52" s="713" t="s">
        <v>296</v>
      </c>
      <c r="C52" s="726" t="s">
        <v>297</v>
      </c>
      <c r="D52" s="761">
        <v>105330</v>
      </c>
      <c r="E52" s="94">
        <v>51201</v>
      </c>
      <c r="F52" s="784">
        <f t="shared" si="21"/>
        <v>0.48610082597550558</v>
      </c>
      <c r="G52" s="95">
        <f>D52*(HLOOKUP(Ogolne!$D$6,'Wskazniki emisji elektrycznosc'!$B$8:$G$29,Ogolne!$E$7,TRUE))/1000</f>
        <v>103.43406</v>
      </c>
      <c r="H52" s="93"/>
      <c r="I52" s="94"/>
      <c r="J52" s="784" t="str">
        <f t="shared" si="22"/>
        <v/>
      </c>
      <c r="K52" s="95">
        <f>H52*'Wskazniki emisji paliw'!M$26</f>
        <v>0</v>
      </c>
      <c r="L52" s="93"/>
      <c r="M52" s="94"/>
      <c r="N52" s="95">
        <f>L52*'Wskazniki emisji paliw'!M$27</f>
        <v>0</v>
      </c>
      <c r="O52" s="93"/>
      <c r="P52" s="94"/>
      <c r="Q52" s="95">
        <f>O52*'Wskazniki emisji paliw'!L$17</f>
        <v>0</v>
      </c>
      <c r="R52" s="93"/>
      <c r="S52" s="94"/>
      <c r="T52" s="95">
        <f>R52*'Wskazniki emisji paliw'!L$18</f>
        <v>0</v>
      </c>
      <c r="U52" s="93"/>
      <c r="V52" s="94"/>
      <c r="W52" s="95">
        <f>U52*'Wskazniki emisji paliw'!N$10</f>
        <v>0</v>
      </c>
      <c r="X52" s="93"/>
      <c r="Y52" s="94"/>
      <c r="Z52" s="95">
        <f>X52*'Wskazniki emisji paliw'!N$11</f>
        <v>0</v>
      </c>
      <c r="AA52" s="93"/>
      <c r="AB52" s="94"/>
      <c r="AC52" s="95">
        <f>AA52*'Wskazniki emisji paliw'!L$21</f>
        <v>0</v>
      </c>
      <c r="AD52" s="93"/>
      <c r="AE52" s="94"/>
      <c r="AF52" s="95">
        <f>AD52*'Wskazniki emisji paliw'!L$20</f>
        <v>0</v>
      </c>
      <c r="AG52" s="93"/>
      <c r="AH52" s="94"/>
      <c r="AI52" s="95">
        <f>AG52*'Wskazniki emisji paliw'!N$13</f>
        <v>0</v>
      </c>
      <c r="AJ52" s="762">
        <v>252.77777777777777</v>
      </c>
      <c r="AK52" s="94">
        <v>54595</v>
      </c>
      <c r="AL52" s="777">
        <f t="shared" si="23"/>
        <v>215.98021978021978</v>
      </c>
      <c r="AM52" s="96">
        <f>AJ52*'Wskazniki emisji paliw'!K$35</f>
        <v>81.900000000000006</v>
      </c>
      <c r="AN52" s="5"/>
      <c r="AO52" s="91" t="str">
        <f t="shared" si="17"/>
        <v>Bydgoskie Towarzystwo Żużlowe Polonia</v>
      </c>
      <c r="AP52" s="91" t="str">
        <f t="shared" si="18"/>
        <v>BTZP</v>
      </c>
      <c r="AQ52" s="759">
        <v>2400</v>
      </c>
      <c r="AR52" s="97">
        <v>34</v>
      </c>
      <c r="AS52" s="759">
        <v>2625</v>
      </c>
      <c r="AT52" s="94">
        <f t="shared" si="19"/>
        <v>105796</v>
      </c>
      <c r="AU52" s="95">
        <f t="shared" si="20"/>
        <v>185.33406000000002</v>
      </c>
      <c r="AV52" s="98">
        <f t="shared" si="24"/>
        <v>44.081666666666663</v>
      </c>
      <c r="AW52" s="98">
        <f t="shared" si="25"/>
        <v>3111.6470588235293</v>
      </c>
      <c r="AX52" s="98">
        <f t="shared" si="26"/>
        <v>40.303238095238093</v>
      </c>
      <c r="AY52" s="98">
        <f t="shared" si="27"/>
        <v>7.7222525000000014E-2</v>
      </c>
      <c r="AZ52" s="98">
        <f t="shared" si="28"/>
        <v>5.4510017647058833</v>
      </c>
      <c r="BA52" s="99">
        <f t="shared" si="29"/>
        <v>7.060345142857144E-2</v>
      </c>
      <c r="BB52" s="100"/>
      <c r="BC52" s="90"/>
      <c r="BD52" s="90"/>
      <c r="BE52" s="90"/>
      <c r="BF52" s="90"/>
      <c r="BG52" s="90"/>
      <c r="BH52" s="90"/>
      <c r="BI52" s="90"/>
      <c r="BJ52" s="90"/>
    </row>
    <row r="53" spans="1:62" s="101" customFormat="1">
      <c r="A53" s="712"/>
      <c r="B53" s="714"/>
      <c r="C53" s="711"/>
      <c r="D53" s="709"/>
      <c r="E53" s="94"/>
      <c r="F53" s="784" t="str">
        <f t="shared" si="21"/>
        <v/>
      </c>
      <c r="G53" s="95">
        <f>D53*(HLOOKUP(Ogolne!$D$6,'Wskazniki emisji elektrycznosc'!$B$8:$G$29,Ogolne!$E$7,TRUE))/1000</f>
        <v>0</v>
      </c>
      <c r="H53" s="93"/>
      <c r="I53" s="94"/>
      <c r="J53" s="784" t="str">
        <f t="shared" si="22"/>
        <v/>
      </c>
      <c r="K53" s="95">
        <f>H53*'Wskazniki emisji paliw'!M$26</f>
        <v>0</v>
      </c>
      <c r="L53" s="93"/>
      <c r="M53" s="94"/>
      <c r="N53" s="95">
        <f>L53*'Wskazniki emisji paliw'!M$27</f>
        <v>0</v>
      </c>
      <c r="O53" s="93"/>
      <c r="P53" s="94"/>
      <c r="Q53" s="95">
        <f>O53*'Wskazniki emisji paliw'!L$17</f>
        <v>0</v>
      </c>
      <c r="R53" s="93"/>
      <c r="S53" s="94"/>
      <c r="T53" s="95">
        <f>R53*'Wskazniki emisji paliw'!L$18</f>
        <v>0</v>
      </c>
      <c r="U53" s="93"/>
      <c r="V53" s="94"/>
      <c r="W53" s="95">
        <f>U53*'Wskazniki emisji paliw'!N$10</f>
        <v>0</v>
      </c>
      <c r="X53" s="93"/>
      <c r="Y53" s="94"/>
      <c r="Z53" s="95">
        <f>X53*'Wskazniki emisji paliw'!N$11</f>
        <v>0</v>
      </c>
      <c r="AA53" s="93"/>
      <c r="AB53" s="94"/>
      <c r="AC53" s="95">
        <f>AA53*'Wskazniki emisji paliw'!L$21</f>
        <v>0</v>
      </c>
      <c r="AD53" s="93"/>
      <c r="AE53" s="94"/>
      <c r="AF53" s="95">
        <f>AD53*'Wskazniki emisji paliw'!L$20</f>
        <v>0</v>
      </c>
      <c r="AG53" s="93"/>
      <c r="AH53" s="94"/>
      <c r="AI53" s="95">
        <f>AG53*'Wskazniki emisji paliw'!N$13</f>
        <v>0</v>
      </c>
      <c r="AJ53" s="93"/>
      <c r="AK53" s="94"/>
      <c r="AL53" s="777" t="str">
        <f t="shared" si="23"/>
        <v/>
      </c>
      <c r="AM53" s="96">
        <f>AJ53*'Wskazniki emisji paliw'!K$35</f>
        <v>0</v>
      </c>
      <c r="AN53" s="5"/>
      <c r="AO53" s="91">
        <f t="shared" si="17"/>
        <v>0</v>
      </c>
      <c r="AP53" s="91">
        <f t="shared" si="18"/>
        <v>0</v>
      </c>
      <c r="AQ53" s="97"/>
      <c r="AR53" s="97"/>
      <c r="AS53" s="97"/>
      <c r="AT53" s="94">
        <f t="shared" si="19"/>
        <v>0</v>
      </c>
      <c r="AU53" s="95">
        <f t="shared" si="20"/>
        <v>0</v>
      </c>
      <c r="AV53" s="98" t="str">
        <f t="shared" si="24"/>
        <v/>
      </c>
      <c r="AW53" s="98" t="str">
        <f t="shared" si="25"/>
        <v/>
      </c>
      <c r="AX53" s="98" t="str">
        <f t="shared" si="26"/>
        <v/>
      </c>
      <c r="AY53" s="98" t="str">
        <f t="shared" si="27"/>
        <v/>
      </c>
      <c r="AZ53" s="98" t="str">
        <f t="shared" si="28"/>
        <v/>
      </c>
      <c r="BA53" s="99" t="str">
        <f t="shared" si="29"/>
        <v/>
      </c>
      <c r="BB53" s="100"/>
      <c r="BC53" s="90"/>
      <c r="BD53" s="90"/>
      <c r="BE53" s="90"/>
      <c r="BF53" s="90"/>
      <c r="BG53" s="90"/>
      <c r="BH53" s="90"/>
      <c r="BI53" s="90"/>
      <c r="BJ53" s="90"/>
    </row>
    <row r="54" spans="1:62" s="101" customFormat="1">
      <c r="A54" s="712"/>
      <c r="B54" s="714"/>
      <c r="C54" s="711"/>
      <c r="D54" s="709"/>
      <c r="E54" s="94"/>
      <c r="F54" s="784" t="str">
        <f t="shared" si="21"/>
        <v/>
      </c>
      <c r="G54" s="95">
        <f>D54*(HLOOKUP(Ogolne!$D$6,'Wskazniki emisji elektrycznosc'!$B$8:$G$29,Ogolne!$E$7,TRUE))/1000</f>
        <v>0</v>
      </c>
      <c r="H54" s="93"/>
      <c r="I54" s="94"/>
      <c r="J54" s="784" t="str">
        <f t="shared" si="22"/>
        <v/>
      </c>
      <c r="K54" s="95">
        <f>H54*'Wskazniki emisji paliw'!M$26</f>
        <v>0</v>
      </c>
      <c r="L54" s="93"/>
      <c r="M54" s="94"/>
      <c r="N54" s="95">
        <f>L54*'Wskazniki emisji paliw'!M$27</f>
        <v>0</v>
      </c>
      <c r="O54" s="93"/>
      <c r="P54" s="94"/>
      <c r="Q54" s="95">
        <f>O54*'Wskazniki emisji paliw'!L$17</f>
        <v>0</v>
      </c>
      <c r="R54" s="93"/>
      <c r="S54" s="94"/>
      <c r="T54" s="95">
        <f>R54*'Wskazniki emisji paliw'!L$18</f>
        <v>0</v>
      </c>
      <c r="U54" s="93"/>
      <c r="V54" s="94"/>
      <c r="W54" s="95">
        <f>U54*'Wskazniki emisji paliw'!N$10</f>
        <v>0</v>
      </c>
      <c r="X54" s="93"/>
      <c r="Y54" s="94"/>
      <c r="Z54" s="95">
        <f>X54*'Wskazniki emisji paliw'!N$11</f>
        <v>0</v>
      </c>
      <c r="AA54" s="93"/>
      <c r="AB54" s="94"/>
      <c r="AC54" s="95">
        <f>AA54*'Wskazniki emisji paliw'!L$21</f>
        <v>0</v>
      </c>
      <c r="AD54" s="93"/>
      <c r="AE54" s="94"/>
      <c r="AF54" s="95">
        <f>AD54*'Wskazniki emisji paliw'!L$20</f>
        <v>0</v>
      </c>
      <c r="AG54" s="93"/>
      <c r="AH54" s="94"/>
      <c r="AI54" s="95">
        <f>AG54*'Wskazniki emisji paliw'!N$13</f>
        <v>0</v>
      </c>
      <c r="AJ54" s="93"/>
      <c r="AK54" s="94"/>
      <c r="AL54" s="777" t="str">
        <f t="shared" si="23"/>
        <v/>
      </c>
      <c r="AM54" s="96">
        <f>AJ54*'Wskazniki emisji paliw'!K$35</f>
        <v>0</v>
      </c>
      <c r="AN54" s="5"/>
      <c r="AO54" s="91">
        <f t="shared" si="17"/>
        <v>0</v>
      </c>
      <c r="AP54" s="91">
        <f t="shared" si="18"/>
        <v>0</v>
      </c>
      <c r="AQ54" s="97"/>
      <c r="AR54" s="97"/>
      <c r="AS54" s="97"/>
      <c r="AT54" s="94">
        <f t="shared" si="19"/>
        <v>0</v>
      </c>
      <c r="AU54" s="95">
        <f t="shared" si="20"/>
        <v>0</v>
      </c>
      <c r="AV54" s="98" t="str">
        <f t="shared" si="24"/>
        <v/>
      </c>
      <c r="AW54" s="98" t="str">
        <f t="shared" si="25"/>
        <v/>
      </c>
      <c r="AX54" s="98" t="str">
        <f t="shared" si="26"/>
        <v/>
      </c>
      <c r="AY54" s="98" t="str">
        <f t="shared" si="27"/>
        <v/>
      </c>
      <c r="AZ54" s="98" t="str">
        <f t="shared" si="28"/>
        <v/>
      </c>
      <c r="BA54" s="99" t="str">
        <f t="shared" si="29"/>
        <v/>
      </c>
      <c r="BB54" s="100"/>
      <c r="BC54" s="90"/>
      <c r="BD54" s="90"/>
      <c r="BE54" s="90"/>
      <c r="BF54" s="90"/>
      <c r="BG54" s="90"/>
      <c r="BH54" s="90"/>
      <c r="BI54" s="90"/>
      <c r="BJ54" s="90"/>
    </row>
    <row r="55" spans="1:62" s="101" customFormat="1">
      <c r="A55" s="712"/>
      <c r="B55" s="714"/>
      <c r="C55" s="711"/>
      <c r="D55" s="709"/>
      <c r="E55" s="94"/>
      <c r="F55" s="784" t="str">
        <f t="shared" si="21"/>
        <v/>
      </c>
      <c r="G55" s="95">
        <f>D55*(HLOOKUP(Ogolne!$D$6,'Wskazniki emisji elektrycznosc'!$B$8:$G$29,Ogolne!$E$7,TRUE))/1000</f>
        <v>0</v>
      </c>
      <c r="H55" s="93"/>
      <c r="I55" s="94"/>
      <c r="J55" s="784" t="str">
        <f t="shared" si="22"/>
        <v/>
      </c>
      <c r="K55" s="95">
        <f>H55*'Wskazniki emisji paliw'!M$26</f>
        <v>0</v>
      </c>
      <c r="L55" s="93"/>
      <c r="M55" s="94"/>
      <c r="N55" s="95">
        <f>L55*'Wskazniki emisji paliw'!M$27</f>
        <v>0</v>
      </c>
      <c r="O55" s="93"/>
      <c r="P55" s="94"/>
      <c r="Q55" s="95">
        <f>O55*'Wskazniki emisji paliw'!L$17</f>
        <v>0</v>
      </c>
      <c r="R55" s="93"/>
      <c r="S55" s="94"/>
      <c r="T55" s="95">
        <f>R55*'Wskazniki emisji paliw'!L$18</f>
        <v>0</v>
      </c>
      <c r="U55" s="93"/>
      <c r="V55" s="94"/>
      <c r="W55" s="95">
        <f>U55*'Wskazniki emisji paliw'!N$10</f>
        <v>0</v>
      </c>
      <c r="X55" s="93"/>
      <c r="Y55" s="94"/>
      <c r="Z55" s="95">
        <f>X55*'Wskazniki emisji paliw'!N$11</f>
        <v>0</v>
      </c>
      <c r="AA55" s="93"/>
      <c r="AB55" s="94"/>
      <c r="AC55" s="95">
        <f>AA55*'Wskazniki emisji paliw'!L$21</f>
        <v>0</v>
      </c>
      <c r="AD55" s="93"/>
      <c r="AE55" s="94"/>
      <c r="AF55" s="95">
        <f>AD55*'Wskazniki emisji paliw'!L$20</f>
        <v>0</v>
      </c>
      <c r="AG55" s="93"/>
      <c r="AH55" s="94"/>
      <c r="AI55" s="95">
        <f>AG55*'Wskazniki emisji paliw'!N$13</f>
        <v>0</v>
      </c>
      <c r="AJ55" s="93"/>
      <c r="AK55" s="94"/>
      <c r="AL55" s="777" t="str">
        <f t="shared" si="23"/>
        <v/>
      </c>
      <c r="AM55" s="96">
        <f>AJ55*'Wskazniki emisji paliw'!K$35</f>
        <v>0</v>
      </c>
      <c r="AN55" s="5"/>
      <c r="AO55" s="91">
        <f t="shared" si="17"/>
        <v>0</v>
      </c>
      <c r="AP55" s="91">
        <f t="shared" si="18"/>
        <v>0</v>
      </c>
      <c r="AQ55" s="97"/>
      <c r="AR55" s="97"/>
      <c r="AS55" s="97"/>
      <c r="AT55" s="94">
        <f t="shared" si="19"/>
        <v>0</v>
      </c>
      <c r="AU55" s="95">
        <f t="shared" si="20"/>
        <v>0</v>
      </c>
      <c r="AV55" s="98" t="str">
        <f t="shared" si="24"/>
        <v/>
      </c>
      <c r="AW55" s="98" t="str">
        <f t="shared" si="25"/>
        <v/>
      </c>
      <c r="AX55" s="98" t="str">
        <f t="shared" si="26"/>
        <v/>
      </c>
      <c r="AY55" s="98" t="str">
        <f t="shared" si="27"/>
        <v/>
      </c>
      <c r="AZ55" s="98" t="str">
        <f t="shared" si="28"/>
        <v/>
      </c>
      <c r="BA55" s="99" t="str">
        <f t="shared" si="29"/>
        <v/>
      </c>
      <c r="BB55" s="100"/>
      <c r="BC55" s="90"/>
      <c r="BD55" s="90"/>
      <c r="BE55" s="90"/>
      <c r="BF55" s="90"/>
      <c r="BG55" s="90"/>
      <c r="BH55" s="90"/>
      <c r="BI55" s="90"/>
      <c r="BJ55" s="90"/>
    </row>
    <row r="56" spans="1:62" s="101" customFormat="1">
      <c r="A56" s="712"/>
      <c r="B56" s="714"/>
      <c r="C56" s="711"/>
      <c r="D56" s="709"/>
      <c r="E56" s="94"/>
      <c r="F56" s="784" t="str">
        <f t="shared" si="21"/>
        <v/>
      </c>
      <c r="G56" s="95">
        <f>D56*(HLOOKUP(Ogolne!$D$6,'Wskazniki emisji elektrycznosc'!$B$8:$G$29,Ogolne!$E$7,TRUE))/1000</f>
        <v>0</v>
      </c>
      <c r="H56" s="93"/>
      <c r="I56" s="94"/>
      <c r="J56" s="784" t="str">
        <f t="shared" si="22"/>
        <v/>
      </c>
      <c r="K56" s="95">
        <f>H56*'Wskazniki emisji paliw'!M$26</f>
        <v>0</v>
      </c>
      <c r="L56" s="93"/>
      <c r="M56" s="94"/>
      <c r="N56" s="95">
        <f>L56*'Wskazniki emisji paliw'!M$27</f>
        <v>0</v>
      </c>
      <c r="O56" s="93"/>
      <c r="P56" s="94"/>
      <c r="Q56" s="95">
        <f>O56*'Wskazniki emisji paliw'!L$17</f>
        <v>0</v>
      </c>
      <c r="R56" s="93"/>
      <c r="S56" s="94"/>
      <c r="T56" s="95">
        <f>R56*'Wskazniki emisji paliw'!L$18</f>
        <v>0</v>
      </c>
      <c r="U56" s="93"/>
      <c r="V56" s="94"/>
      <c r="W56" s="95">
        <f>U56*'Wskazniki emisji paliw'!N$10</f>
        <v>0</v>
      </c>
      <c r="X56" s="93"/>
      <c r="Y56" s="94"/>
      <c r="Z56" s="95">
        <f>X56*'Wskazniki emisji paliw'!N$11</f>
        <v>0</v>
      </c>
      <c r="AA56" s="93"/>
      <c r="AB56" s="94"/>
      <c r="AC56" s="95">
        <f>AA56*'Wskazniki emisji paliw'!L$21</f>
        <v>0</v>
      </c>
      <c r="AD56" s="93"/>
      <c r="AE56" s="94"/>
      <c r="AF56" s="95">
        <f>AD56*'Wskazniki emisji paliw'!L$20</f>
        <v>0</v>
      </c>
      <c r="AG56" s="93"/>
      <c r="AH56" s="94"/>
      <c r="AI56" s="95">
        <f>AG56*'Wskazniki emisji paliw'!N$13</f>
        <v>0</v>
      </c>
      <c r="AJ56" s="93"/>
      <c r="AK56" s="94"/>
      <c r="AL56" s="777" t="str">
        <f t="shared" si="23"/>
        <v/>
      </c>
      <c r="AM56" s="96">
        <f>AJ56*'Wskazniki emisji paliw'!K$35</f>
        <v>0</v>
      </c>
      <c r="AN56" s="5"/>
      <c r="AO56" s="91">
        <f t="shared" si="17"/>
        <v>0</v>
      </c>
      <c r="AP56" s="91">
        <f t="shared" si="18"/>
        <v>0</v>
      </c>
      <c r="AQ56" s="97"/>
      <c r="AR56" s="97"/>
      <c r="AS56" s="97"/>
      <c r="AT56" s="94">
        <f t="shared" si="19"/>
        <v>0</v>
      </c>
      <c r="AU56" s="95">
        <f t="shared" si="20"/>
        <v>0</v>
      </c>
      <c r="AV56" s="98" t="str">
        <f t="shared" si="24"/>
        <v/>
      </c>
      <c r="AW56" s="98" t="str">
        <f t="shared" si="25"/>
        <v/>
      </c>
      <c r="AX56" s="98" t="str">
        <f t="shared" si="26"/>
        <v/>
      </c>
      <c r="AY56" s="98" t="str">
        <f t="shared" si="27"/>
        <v/>
      </c>
      <c r="AZ56" s="98" t="str">
        <f t="shared" si="28"/>
        <v/>
      </c>
      <c r="BA56" s="99" t="str">
        <f t="shared" si="29"/>
        <v/>
      </c>
      <c r="BB56" s="100"/>
      <c r="BC56" s="90"/>
      <c r="BD56" s="90"/>
      <c r="BE56" s="90"/>
      <c r="BF56" s="90"/>
      <c r="BG56" s="90"/>
      <c r="BH56" s="90"/>
      <c r="BI56" s="90"/>
      <c r="BJ56" s="90"/>
    </row>
    <row r="57" spans="1:62" s="101" customFormat="1">
      <c r="A57" s="712"/>
      <c r="B57" s="714"/>
      <c r="C57" s="711"/>
      <c r="D57" s="709"/>
      <c r="E57" s="94"/>
      <c r="F57" s="784" t="str">
        <f t="shared" si="21"/>
        <v/>
      </c>
      <c r="G57" s="95">
        <f>D57*(HLOOKUP(Ogolne!$D$6,'Wskazniki emisji elektrycznosc'!$B$8:$G$29,Ogolne!$E$7,TRUE))/1000</f>
        <v>0</v>
      </c>
      <c r="H57" s="93"/>
      <c r="I57" s="94"/>
      <c r="J57" s="784" t="str">
        <f t="shared" si="22"/>
        <v/>
      </c>
      <c r="K57" s="95">
        <f>H57*'Wskazniki emisji paliw'!M$26</f>
        <v>0</v>
      </c>
      <c r="L57" s="93"/>
      <c r="M57" s="94"/>
      <c r="N57" s="95">
        <f>L57*'Wskazniki emisji paliw'!M$27</f>
        <v>0</v>
      </c>
      <c r="O57" s="93"/>
      <c r="P57" s="94"/>
      <c r="Q57" s="95">
        <f>O57*'Wskazniki emisji paliw'!L$17</f>
        <v>0</v>
      </c>
      <c r="R57" s="93"/>
      <c r="S57" s="94"/>
      <c r="T57" s="95">
        <f>R57*'Wskazniki emisji paliw'!L$18</f>
        <v>0</v>
      </c>
      <c r="U57" s="93"/>
      <c r="V57" s="94"/>
      <c r="W57" s="95">
        <f>U57*'Wskazniki emisji paliw'!N$10</f>
        <v>0</v>
      </c>
      <c r="X57" s="93"/>
      <c r="Y57" s="94"/>
      <c r="Z57" s="95">
        <f>X57*'Wskazniki emisji paliw'!N$11</f>
        <v>0</v>
      </c>
      <c r="AA57" s="93"/>
      <c r="AB57" s="94"/>
      <c r="AC57" s="95">
        <f>AA57*'Wskazniki emisji paliw'!L$21</f>
        <v>0</v>
      </c>
      <c r="AD57" s="93"/>
      <c r="AE57" s="94"/>
      <c r="AF57" s="95">
        <f>AD57*'Wskazniki emisji paliw'!L$20</f>
        <v>0</v>
      </c>
      <c r="AG57" s="93"/>
      <c r="AH57" s="94"/>
      <c r="AI57" s="95">
        <f>AG57*'Wskazniki emisji paliw'!N$13</f>
        <v>0</v>
      </c>
      <c r="AJ57" s="93"/>
      <c r="AK57" s="94"/>
      <c r="AL57" s="777" t="str">
        <f t="shared" si="23"/>
        <v/>
      </c>
      <c r="AM57" s="96">
        <f>AJ57*'Wskazniki emisji paliw'!K$35</f>
        <v>0</v>
      </c>
      <c r="AN57" s="5"/>
      <c r="AO57" s="91">
        <f t="shared" si="17"/>
        <v>0</v>
      </c>
      <c r="AP57" s="91">
        <f t="shared" si="18"/>
        <v>0</v>
      </c>
      <c r="AQ57" s="97"/>
      <c r="AR57" s="97"/>
      <c r="AS57" s="97"/>
      <c r="AT57" s="94">
        <f t="shared" si="19"/>
        <v>0</v>
      </c>
      <c r="AU57" s="95">
        <f t="shared" si="20"/>
        <v>0</v>
      </c>
      <c r="AV57" s="98" t="str">
        <f t="shared" si="24"/>
        <v/>
      </c>
      <c r="AW57" s="98" t="str">
        <f t="shared" si="25"/>
        <v/>
      </c>
      <c r="AX57" s="98" t="str">
        <f t="shared" si="26"/>
        <v/>
      </c>
      <c r="AY57" s="98" t="str">
        <f t="shared" si="27"/>
        <v/>
      </c>
      <c r="AZ57" s="98" t="str">
        <f t="shared" si="28"/>
        <v/>
      </c>
      <c r="BA57" s="99" t="str">
        <f t="shared" si="29"/>
        <v/>
      </c>
      <c r="BB57" s="100"/>
      <c r="BC57" s="90"/>
      <c r="BD57" s="90"/>
      <c r="BE57" s="90"/>
      <c r="BF57" s="90"/>
      <c r="BG57" s="90"/>
      <c r="BH57" s="90"/>
      <c r="BI57" s="90"/>
      <c r="BJ57" s="90"/>
    </row>
    <row r="58" spans="1:62" s="101" customFormat="1">
      <c r="A58" s="712"/>
      <c r="B58" s="714"/>
      <c r="C58" s="711"/>
      <c r="D58" s="709"/>
      <c r="E58" s="94"/>
      <c r="F58" s="784" t="str">
        <f t="shared" si="21"/>
        <v/>
      </c>
      <c r="G58" s="95">
        <f>D58*(HLOOKUP(Ogolne!$D$6,'Wskazniki emisji elektrycznosc'!$B$8:$G$29,Ogolne!$E$7,TRUE))/1000</f>
        <v>0</v>
      </c>
      <c r="H58" s="93"/>
      <c r="I58" s="94"/>
      <c r="J58" s="784" t="str">
        <f t="shared" si="22"/>
        <v/>
      </c>
      <c r="K58" s="95">
        <f>H58*'Wskazniki emisji paliw'!M$26</f>
        <v>0</v>
      </c>
      <c r="L58" s="93"/>
      <c r="M58" s="94"/>
      <c r="N58" s="95">
        <f>L58*'Wskazniki emisji paliw'!M$27</f>
        <v>0</v>
      </c>
      <c r="O58" s="93"/>
      <c r="P58" s="94"/>
      <c r="Q58" s="95">
        <f>O58*'Wskazniki emisji paliw'!L$17</f>
        <v>0</v>
      </c>
      <c r="R58" s="93"/>
      <c r="S58" s="94"/>
      <c r="T58" s="95">
        <f>R58*'Wskazniki emisji paliw'!L$18</f>
        <v>0</v>
      </c>
      <c r="U58" s="93"/>
      <c r="V58" s="94"/>
      <c r="W58" s="95">
        <f>U58*'Wskazniki emisji paliw'!N$10</f>
        <v>0</v>
      </c>
      <c r="X58" s="93"/>
      <c r="Y58" s="94"/>
      <c r="Z58" s="95">
        <f>X58*'Wskazniki emisji paliw'!N$11</f>
        <v>0</v>
      </c>
      <c r="AA58" s="93"/>
      <c r="AB58" s="94"/>
      <c r="AC58" s="95">
        <f>AA58*'Wskazniki emisji paliw'!L$21</f>
        <v>0</v>
      </c>
      <c r="AD58" s="93"/>
      <c r="AE58" s="94"/>
      <c r="AF58" s="95">
        <f>AD58*'Wskazniki emisji paliw'!L$20</f>
        <v>0</v>
      </c>
      <c r="AG58" s="93"/>
      <c r="AH58" s="94"/>
      <c r="AI58" s="95">
        <f>AG58*'Wskazniki emisji paliw'!N$13</f>
        <v>0</v>
      </c>
      <c r="AJ58" s="93"/>
      <c r="AK58" s="94"/>
      <c r="AL58" s="777" t="str">
        <f t="shared" si="23"/>
        <v/>
      </c>
      <c r="AM58" s="96">
        <f>AJ58*'Wskazniki emisji paliw'!K$35</f>
        <v>0</v>
      </c>
      <c r="AN58" s="5"/>
      <c r="AO58" s="91">
        <f t="shared" si="17"/>
        <v>0</v>
      </c>
      <c r="AP58" s="91">
        <f t="shared" si="18"/>
        <v>0</v>
      </c>
      <c r="AQ58" s="97"/>
      <c r="AR58" s="97"/>
      <c r="AS58" s="97"/>
      <c r="AT58" s="94">
        <f t="shared" si="19"/>
        <v>0</v>
      </c>
      <c r="AU58" s="95">
        <f t="shared" si="20"/>
        <v>0</v>
      </c>
      <c r="AV58" s="98" t="str">
        <f t="shared" si="24"/>
        <v/>
      </c>
      <c r="AW58" s="98" t="str">
        <f t="shared" si="25"/>
        <v/>
      </c>
      <c r="AX58" s="98" t="str">
        <f t="shared" si="26"/>
        <v/>
      </c>
      <c r="AY58" s="98" t="str">
        <f t="shared" si="27"/>
        <v/>
      </c>
      <c r="AZ58" s="98" t="str">
        <f t="shared" si="28"/>
        <v/>
      </c>
      <c r="BA58" s="99" t="str">
        <f t="shared" si="29"/>
        <v/>
      </c>
      <c r="BB58" s="100"/>
      <c r="BC58" s="90"/>
      <c r="BD58" s="90"/>
      <c r="BE58" s="90"/>
      <c r="BF58" s="90"/>
      <c r="BG58" s="90"/>
      <c r="BH58" s="90"/>
      <c r="BI58" s="90"/>
      <c r="BJ58" s="90"/>
    </row>
    <row r="59" spans="1:62" s="101" customFormat="1">
      <c r="A59" s="712"/>
      <c r="B59" s="727"/>
      <c r="C59" s="726"/>
      <c r="D59" s="709"/>
      <c r="E59" s="94"/>
      <c r="F59" s="784" t="str">
        <f t="shared" si="21"/>
        <v/>
      </c>
      <c r="G59" s="95">
        <f>D59*(HLOOKUP(Ogolne!$D$6,'Wskazniki emisji elektrycznosc'!$B$8:$G$29,Ogolne!$E$7,TRUE))/1000</f>
        <v>0</v>
      </c>
      <c r="H59" s="93"/>
      <c r="I59" s="94"/>
      <c r="J59" s="784" t="str">
        <f t="shared" si="22"/>
        <v/>
      </c>
      <c r="K59" s="95">
        <f>H59*'Wskazniki emisji paliw'!M$26</f>
        <v>0</v>
      </c>
      <c r="L59" s="93"/>
      <c r="M59" s="94"/>
      <c r="N59" s="95">
        <f>L59*'Wskazniki emisji paliw'!M$27</f>
        <v>0</v>
      </c>
      <c r="O59" s="93"/>
      <c r="P59" s="94"/>
      <c r="Q59" s="95">
        <f>O59*'Wskazniki emisji paliw'!L$17</f>
        <v>0</v>
      </c>
      <c r="R59" s="93"/>
      <c r="S59" s="94"/>
      <c r="T59" s="95">
        <f>R59*'Wskazniki emisji paliw'!L$18</f>
        <v>0</v>
      </c>
      <c r="U59" s="93"/>
      <c r="V59" s="94"/>
      <c r="W59" s="95">
        <f>U59*'Wskazniki emisji paliw'!N$10</f>
        <v>0</v>
      </c>
      <c r="X59" s="93"/>
      <c r="Y59" s="94"/>
      <c r="Z59" s="95">
        <f>X59*'Wskazniki emisji paliw'!N$11</f>
        <v>0</v>
      </c>
      <c r="AA59" s="93"/>
      <c r="AB59" s="94"/>
      <c r="AC59" s="95">
        <f>AA59*'Wskazniki emisji paliw'!L$21</f>
        <v>0</v>
      </c>
      <c r="AD59" s="93"/>
      <c r="AE59" s="94"/>
      <c r="AF59" s="95">
        <f>AD59*'Wskazniki emisji paliw'!L$20</f>
        <v>0</v>
      </c>
      <c r="AG59" s="93"/>
      <c r="AH59" s="94"/>
      <c r="AI59" s="95">
        <f>AG59*'Wskazniki emisji paliw'!N$13</f>
        <v>0</v>
      </c>
      <c r="AJ59" s="93"/>
      <c r="AK59" s="94"/>
      <c r="AL59" s="777" t="str">
        <f t="shared" si="23"/>
        <v/>
      </c>
      <c r="AM59" s="96">
        <f>AJ59*'Wskazniki emisji paliw'!K$35</f>
        <v>0</v>
      </c>
      <c r="AN59" s="5"/>
      <c r="AO59" s="91">
        <f t="shared" si="17"/>
        <v>0</v>
      </c>
      <c r="AP59" s="91">
        <f t="shared" si="18"/>
        <v>0</v>
      </c>
      <c r="AQ59" s="97"/>
      <c r="AR59" s="97"/>
      <c r="AS59" s="97"/>
      <c r="AT59" s="94">
        <f t="shared" si="19"/>
        <v>0</v>
      </c>
      <c r="AU59" s="95">
        <f t="shared" si="20"/>
        <v>0</v>
      </c>
      <c r="AV59" s="98" t="str">
        <f t="shared" si="24"/>
        <v/>
      </c>
      <c r="AW59" s="98" t="str">
        <f t="shared" si="25"/>
        <v/>
      </c>
      <c r="AX59" s="98" t="str">
        <f t="shared" si="26"/>
        <v/>
      </c>
      <c r="AY59" s="98" t="str">
        <f t="shared" si="27"/>
        <v/>
      </c>
      <c r="AZ59" s="98" t="str">
        <f t="shared" si="28"/>
        <v/>
      </c>
      <c r="BA59" s="99" t="str">
        <f t="shared" si="29"/>
        <v/>
      </c>
      <c r="BB59" s="100"/>
      <c r="BC59" s="90"/>
      <c r="BD59" s="90"/>
      <c r="BE59" s="90"/>
      <c r="BF59" s="90"/>
      <c r="BG59" s="90"/>
      <c r="BH59" s="90"/>
      <c r="BI59" s="90"/>
      <c r="BJ59" s="90"/>
    </row>
    <row r="60" spans="1:62" s="101" customFormat="1">
      <c r="A60" s="712"/>
      <c r="B60" s="715" t="s">
        <v>370</v>
      </c>
      <c r="C60" s="103"/>
      <c r="D60" s="709"/>
      <c r="E60" s="94"/>
      <c r="F60" s="784" t="str">
        <f t="shared" si="21"/>
        <v/>
      </c>
      <c r="G60" s="95">
        <f>D60*(HLOOKUP(Ogolne!$D$6,'Wskazniki emisji elektrycznosc'!$B$8:$G$29,Ogolne!$E$7,TRUE))/1000</f>
        <v>0</v>
      </c>
      <c r="H60" s="93"/>
      <c r="I60" s="94"/>
      <c r="J60" s="784" t="str">
        <f t="shared" si="22"/>
        <v/>
      </c>
      <c r="K60" s="95">
        <f>H60*'Wskazniki emisji paliw'!M$26</f>
        <v>0</v>
      </c>
      <c r="L60" s="93"/>
      <c r="M60" s="94"/>
      <c r="N60" s="95">
        <f>L60*'Wskazniki emisji paliw'!M$27</f>
        <v>0</v>
      </c>
      <c r="O60" s="93"/>
      <c r="P60" s="94"/>
      <c r="Q60" s="95">
        <f>O60*'Wskazniki emisji paliw'!L$17</f>
        <v>0</v>
      </c>
      <c r="R60" s="93"/>
      <c r="S60" s="94"/>
      <c r="T60" s="95">
        <f>R60*'Wskazniki emisji paliw'!L$18</f>
        <v>0</v>
      </c>
      <c r="U60" s="93"/>
      <c r="V60" s="94"/>
      <c r="W60" s="95">
        <f>U60*'Wskazniki emisji paliw'!N$10</f>
        <v>0</v>
      </c>
      <c r="X60" s="93"/>
      <c r="Y60" s="94"/>
      <c r="Z60" s="95">
        <f>X60*'Wskazniki emisji paliw'!N$11</f>
        <v>0</v>
      </c>
      <c r="AA60" s="93"/>
      <c r="AB60" s="94"/>
      <c r="AC60" s="95">
        <f>AA60*'Wskazniki emisji paliw'!L$21</f>
        <v>0</v>
      </c>
      <c r="AD60" s="93"/>
      <c r="AE60" s="94"/>
      <c r="AF60" s="95">
        <f>AD60*'Wskazniki emisji paliw'!L$20</f>
        <v>0</v>
      </c>
      <c r="AG60" s="93"/>
      <c r="AH60" s="94"/>
      <c r="AI60" s="95">
        <f>AG60*'Wskazniki emisji paliw'!N$13</f>
        <v>0</v>
      </c>
      <c r="AJ60" s="93"/>
      <c r="AK60" s="94"/>
      <c r="AL60" s="777" t="str">
        <f t="shared" si="23"/>
        <v/>
      </c>
      <c r="AM60" s="96">
        <f>AJ60*'Wskazniki emisji paliw'!K$35</f>
        <v>0</v>
      </c>
      <c r="AN60" s="5"/>
      <c r="AO60" s="91" t="str">
        <f t="shared" si="17"/>
        <v>Skopiuj i wklej ten wiersz zanim go wypełnisz</v>
      </c>
      <c r="AP60" s="91">
        <f t="shared" si="18"/>
        <v>0</v>
      </c>
      <c r="AQ60" s="97"/>
      <c r="AR60" s="97"/>
      <c r="AS60" s="97"/>
      <c r="AT60" s="94">
        <f t="shared" si="19"/>
        <v>0</v>
      </c>
      <c r="AU60" s="95">
        <f t="shared" si="20"/>
        <v>0</v>
      </c>
      <c r="AV60" s="98" t="str">
        <f t="shared" si="24"/>
        <v/>
      </c>
      <c r="AW60" s="98" t="str">
        <f t="shared" si="25"/>
        <v/>
      </c>
      <c r="AX60" s="98" t="str">
        <f t="shared" si="26"/>
        <v/>
      </c>
      <c r="AY60" s="98" t="str">
        <f t="shared" si="27"/>
        <v/>
      </c>
      <c r="AZ60" s="98" t="str">
        <f t="shared" si="28"/>
        <v/>
      </c>
      <c r="BA60" s="99" t="str">
        <f t="shared" si="29"/>
        <v/>
      </c>
      <c r="BB60" s="100"/>
      <c r="BC60" s="90"/>
      <c r="BD60" s="90"/>
      <c r="BE60" s="90"/>
      <c r="BF60" s="90"/>
      <c r="BG60" s="90"/>
      <c r="BH60" s="90"/>
      <c r="BI60" s="90"/>
      <c r="BJ60" s="90"/>
    </row>
    <row r="61" spans="1:62" s="118" customFormat="1" ht="13.5" thickBot="1">
      <c r="A61" s="105"/>
      <c r="B61" s="106" t="s">
        <v>371</v>
      </c>
      <c r="C61" s="107"/>
      <c r="D61" s="108">
        <f t="shared" ref="D61:AM61" si="30">SUM(D10:D60)</f>
        <v>28843407.959999997</v>
      </c>
      <c r="E61" s="109">
        <f t="shared" si="30"/>
        <v>9100073.7699999977</v>
      </c>
      <c r="F61" s="785">
        <f>AVERAGE(F10:F52)</f>
        <v>0.40152783770856065</v>
      </c>
      <c r="G61" s="109">
        <f t="shared" si="30"/>
        <v>28324.22661672</v>
      </c>
      <c r="H61" s="109">
        <f t="shared" si="30"/>
        <v>1226830</v>
      </c>
      <c r="I61" s="109">
        <f t="shared" si="30"/>
        <v>1439769.94</v>
      </c>
      <c r="J61" s="796">
        <f>AVERAGE(J10:J60)</f>
        <v>1.2104777935910158</v>
      </c>
      <c r="K61" s="109">
        <f t="shared" si="30"/>
        <v>8897.3387938440501</v>
      </c>
      <c r="L61" s="109">
        <f t="shared" si="30"/>
        <v>0</v>
      </c>
      <c r="M61" s="109">
        <f t="shared" si="30"/>
        <v>0</v>
      </c>
      <c r="N61" s="109">
        <f t="shared" si="30"/>
        <v>0</v>
      </c>
      <c r="O61" s="109">
        <f t="shared" si="30"/>
        <v>135404.26</v>
      </c>
      <c r="P61" s="109">
        <f t="shared" si="30"/>
        <v>263983.64</v>
      </c>
      <c r="Q61" s="109">
        <f t="shared" si="30"/>
        <v>281.77722604327141</v>
      </c>
      <c r="R61" s="109">
        <f t="shared" si="30"/>
        <v>0</v>
      </c>
      <c r="S61" s="109">
        <f t="shared" si="30"/>
        <v>0</v>
      </c>
      <c r="T61" s="109">
        <f t="shared" si="30"/>
        <v>0</v>
      </c>
      <c r="U61" s="109">
        <f t="shared" si="30"/>
        <v>36.200000000000003</v>
      </c>
      <c r="V61" s="109">
        <f t="shared" si="30"/>
        <v>11586</v>
      </c>
      <c r="W61" s="109">
        <f t="shared" si="30"/>
        <v>86.703343999999987</v>
      </c>
      <c r="X61" s="109">
        <f t="shared" si="30"/>
        <v>0</v>
      </c>
      <c r="Y61" s="109">
        <f t="shared" si="30"/>
        <v>0</v>
      </c>
      <c r="Z61" s="109">
        <f t="shared" si="30"/>
        <v>0</v>
      </c>
      <c r="AA61" s="109">
        <f t="shared" si="30"/>
        <v>0</v>
      </c>
      <c r="AB61" s="109">
        <f t="shared" si="30"/>
        <v>0</v>
      </c>
      <c r="AC61" s="109">
        <f t="shared" si="30"/>
        <v>0</v>
      </c>
      <c r="AD61" s="109">
        <f t="shared" si="30"/>
        <v>0</v>
      </c>
      <c r="AE61" s="109">
        <f t="shared" si="30"/>
        <v>0</v>
      </c>
      <c r="AF61" s="109">
        <f t="shared" si="30"/>
        <v>0</v>
      </c>
      <c r="AG61" s="109">
        <f t="shared" si="30"/>
        <v>0</v>
      </c>
      <c r="AH61" s="109">
        <f t="shared" si="30"/>
        <v>0</v>
      </c>
      <c r="AI61" s="109">
        <f t="shared" si="30"/>
        <v>0</v>
      </c>
      <c r="AJ61" s="109">
        <f t="shared" si="30"/>
        <v>106604.72674846626</v>
      </c>
      <c r="AK61" s="109">
        <f t="shared" si="30"/>
        <v>18734397.59</v>
      </c>
      <c r="AL61" s="778">
        <f>AVERAGE(AL10:AL52)</f>
        <v>162.90946988931256</v>
      </c>
      <c r="AM61" s="110">
        <f t="shared" si="30"/>
        <v>34539.931466503062</v>
      </c>
      <c r="AN61" s="5"/>
      <c r="AO61" s="106" t="s">
        <v>37</v>
      </c>
      <c r="AP61" s="107"/>
      <c r="AQ61" s="111"/>
      <c r="AR61" s="111"/>
      <c r="AS61" s="111">
        <f>SUM(AS10:AS60)</f>
        <v>765932.37</v>
      </c>
      <c r="AT61" s="112">
        <f>SUM(AT10:AT60)</f>
        <v>29549810.940000009</v>
      </c>
      <c r="AU61" s="113">
        <f>SUM(AU10:AU60)</f>
        <v>72129.977447110388</v>
      </c>
      <c r="AV61" s="114"/>
      <c r="AW61" s="114"/>
      <c r="AX61" s="115"/>
      <c r="AY61" s="114"/>
      <c r="AZ61" s="114"/>
      <c r="BA61" s="116">
        <f>AU61/AS61</f>
        <v>9.4172775916378085E-2</v>
      </c>
      <c r="BB61" s="117"/>
      <c r="BC61" s="105"/>
      <c r="BD61" s="105"/>
      <c r="BE61" s="105"/>
      <c r="BF61" s="105"/>
      <c r="BG61" s="105"/>
      <c r="BH61" s="105"/>
      <c r="BI61" s="105"/>
      <c r="BJ61" s="105"/>
    </row>
    <row r="62" spans="1:62" s="118" customFormat="1">
      <c r="A62" s="105"/>
      <c r="B62" s="119"/>
      <c r="C62" s="53"/>
      <c r="D62" s="120"/>
      <c r="E62" s="121"/>
      <c r="F62" s="786"/>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5"/>
      <c r="AH62" s="119"/>
      <c r="AI62" s="119"/>
      <c r="AJ62" s="122"/>
      <c r="AK62" s="122"/>
      <c r="AL62" s="779"/>
      <c r="AM62" s="122"/>
      <c r="AN62" s="123"/>
      <c r="AO62" s="124"/>
      <c r="AP62" s="125"/>
      <c r="AQ62" s="125"/>
      <c r="AR62" s="125"/>
      <c r="AS62" s="125"/>
      <c r="AT62" s="125"/>
      <c r="AU62" s="125"/>
      <c r="AV62" s="105"/>
      <c r="AW62" s="126"/>
      <c r="AX62" s="105"/>
      <c r="AY62" s="105"/>
      <c r="AZ62" s="105"/>
      <c r="BA62" s="105"/>
      <c r="BB62" s="105"/>
      <c r="BC62" s="105"/>
      <c r="BD62" s="105"/>
    </row>
    <row r="63" spans="1:62" ht="15.75" customHeight="1">
      <c r="A63" s="5"/>
      <c r="B63" s="941" t="s">
        <v>393</v>
      </c>
      <c r="C63" s="941"/>
      <c r="D63" s="941"/>
      <c r="E63" s="941"/>
      <c r="F63" s="941"/>
      <c r="G63" s="941"/>
      <c r="H63" s="941"/>
      <c r="I63" s="941"/>
      <c r="J63" s="941"/>
      <c r="K63" s="941"/>
      <c r="L63" s="941"/>
      <c r="M63" s="941"/>
      <c r="N63" s="941"/>
      <c r="O63" s="941"/>
      <c r="P63" s="941"/>
      <c r="Q63" s="941"/>
      <c r="R63" s="941"/>
      <c r="S63" s="941"/>
      <c r="T63" s="941"/>
      <c r="U63" s="53"/>
      <c r="V63" s="53"/>
      <c r="W63" s="53"/>
      <c r="X63" s="53"/>
      <c r="Y63" s="53"/>
      <c r="Z63" s="53"/>
      <c r="AA63" s="53"/>
      <c r="AB63" s="53"/>
      <c r="AC63" s="53"/>
      <c r="AD63" s="53"/>
      <c r="AE63" s="53"/>
      <c r="AF63" s="53"/>
      <c r="AG63" s="5"/>
      <c r="AH63" s="5"/>
      <c r="AI63" s="5"/>
      <c r="AJ63" s="5"/>
      <c r="AK63" s="5"/>
      <c r="AL63" s="775"/>
      <c r="AM63" s="5"/>
      <c r="AN63" s="5"/>
      <c r="AO63" s="5"/>
      <c r="AP63" s="59"/>
      <c r="AQ63" s="59"/>
      <c r="AR63" s="59"/>
      <c r="AS63" s="59"/>
      <c r="AT63" s="59"/>
      <c r="AU63" s="59"/>
      <c r="AV63" s="5"/>
      <c r="AW63" s="60"/>
      <c r="AX63" s="5"/>
      <c r="AY63" s="5"/>
      <c r="AZ63" s="5"/>
      <c r="BA63" s="5"/>
      <c r="BB63" s="5"/>
      <c r="BC63" s="5"/>
      <c r="BD63" s="5"/>
    </row>
    <row r="64" spans="1:62" ht="13.35" customHeight="1">
      <c r="A64" s="5"/>
      <c r="B64" s="942" t="s">
        <v>469</v>
      </c>
      <c r="C64" s="942"/>
      <c r="D64" s="942"/>
      <c r="E64" s="942"/>
      <c r="F64" s="942"/>
      <c r="G64" s="942"/>
      <c r="H64" s="942"/>
      <c r="I64" s="942"/>
      <c r="J64" s="942"/>
      <c r="K64" s="942"/>
      <c r="L64" s="942"/>
      <c r="M64" s="942"/>
      <c r="N64" s="942"/>
      <c r="O64" s="942"/>
      <c r="P64" s="942"/>
      <c r="Q64" s="942"/>
      <c r="R64" s="942"/>
      <c r="S64" s="942"/>
      <c r="T64" s="942"/>
      <c r="U64" s="53"/>
      <c r="V64" s="53"/>
      <c r="W64" s="53"/>
      <c r="X64" s="53"/>
      <c r="Y64" s="53"/>
      <c r="Z64" s="53"/>
      <c r="AA64" s="53"/>
      <c r="AB64" s="53"/>
      <c r="AC64" s="53"/>
      <c r="AD64" s="53"/>
      <c r="AE64" s="53"/>
      <c r="AF64" s="53"/>
      <c r="AG64" s="5"/>
      <c r="AH64" s="5"/>
      <c r="AI64" s="5"/>
      <c r="AJ64" s="5"/>
      <c r="AK64" s="5"/>
      <c r="AL64" s="775"/>
      <c r="AM64" s="5"/>
      <c r="AN64" s="5"/>
      <c r="AO64" s="5"/>
      <c r="AP64" s="59"/>
      <c r="AQ64" s="59"/>
      <c r="AR64" s="59"/>
      <c r="AS64" s="59"/>
      <c r="AT64" s="59"/>
      <c r="AU64" s="59"/>
      <c r="AV64" s="5"/>
      <c r="AW64" s="60"/>
      <c r="AX64" s="5"/>
      <c r="AY64" s="5"/>
      <c r="AZ64" s="5"/>
      <c r="BA64" s="5"/>
      <c r="BB64" s="5"/>
      <c r="BC64" s="5"/>
      <c r="BD64" s="5"/>
    </row>
    <row r="65" spans="1:57">
      <c r="A65" s="5"/>
      <c r="B65" s="941" t="s">
        <v>394</v>
      </c>
      <c r="C65" s="941"/>
      <c r="D65" s="941"/>
      <c r="E65" s="941"/>
      <c r="F65" s="941"/>
      <c r="G65" s="941"/>
      <c r="H65" s="941"/>
      <c r="I65" s="941"/>
      <c r="J65" s="941"/>
      <c r="K65" s="941"/>
      <c r="L65" s="941"/>
      <c r="M65" s="941"/>
      <c r="N65" s="941"/>
      <c r="O65" s="941"/>
      <c r="P65" s="941"/>
      <c r="Q65" s="941"/>
      <c r="R65" s="941"/>
      <c r="S65" s="941"/>
      <c r="T65" s="941"/>
      <c r="U65" s="53"/>
      <c r="V65" s="53"/>
      <c r="W65" s="53"/>
      <c r="X65" s="53"/>
      <c r="Y65" s="53"/>
      <c r="Z65" s="53"/>
      <c r="AA65" s="53"/>
      <c r="AB65" s="53"/>
      <c r="AC65" s="53"/>
      <c r="AD65" s="53"/>
      <c r="AE65" s="53"/>
      <c r="AF65" s="53"/>
      <c r="AG65" s="5"/>
      <c r="AH65" s="5"/>
      <c r="AI65" s="5"/>
      <c r="AJ65" s="5"/>
      <c r="AK65" s="5"/>
      <c r="AL65" s="775"/>
      <c r="AM65" s="5"/>
      <c r="AN65" s="5"/>
      <c r="AO65" s="5"/>
      <c r="AP65" s="59"/>
      <c r="AQ65" s="59"/>
      <c r="AR65" s="59"/>
      <c r="AS65" s="59"/>
      <c r="AT65" s="59"/>
      <c r="AU65" s="59"/>
      <c r="AV65" s="5"/>
      <c r="AW65" s="60"/>
      <c r="AX65" s="5"/>
      <c r="AY65" s="5"/>
      <c r="AZ65" s="5"/>
      <c r="BA65" s="5"/>
      <c r="BB65" s="5"/>
      <c r="BC65" s="5"/>
      <c r="BD65" s="5"/>
    </row>
    <row r="66" spans="1:57" ht="13.5" thickBot="1">
      <c r="A66" s="5"/>
      <c r="B66" s="127"/>
      <c r="C66" s="127"/>
      <c r="D66" s="127"/>
      <c r="E66" s="127"/>
      <c r="F66" s="787"/>
      <c r="G66" s="127"/>
      <c r="H66" s="127"/>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775"/>
      <c r="AM66" s="5"/>
      <c r="AN66" s="5"/>
      <c r="AO66" s="5"/>
      <c r="AP66" s="5"/>
      <c r="AQ66" s="5"/>
      <c r="AR66" s="5"/>
      <c r="AS66" s="5"/>
      <c r="AT66" s="5"/>
      <c r="AU66" s="5"/>
      <c r="AV66" s="5"/>
      <c r="AW66" s="60"/>
      <c r="AX66" s="5"/>
      <c r="AY66" s="5"/>
      <c r="AZ66" s="5"/>
      <c r="BA66" s="5"/>
      <c r="BB66" s="5"/>
      <c r="BC66" s="5"/>
      <c r="BD66" s="5"/>
    </row>
    <row r="67" spans="1:57">
      <c r="A67" s="5"/>
      <c r="B67" s="128" t="s">
        <v>406</v>
      </c>
      <c r="C67" s="128"/>
      <c r="D67" s="53"/>
      <c r="E67" s="53"/>
      <c r="F67" s="782"/>
      <c r="G67" s="53"/>
      <c r="H67" s="53"/>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775"/>
      <c r="AM67" s="5"/>
      <c r="AN67" s="5"/>
      <c r="AO67" s="5"/>
      <c r="AP67" s="5"/>
      <c r="AQ67" s="5"/>
      <c r="AR67" s="5"/>
      <c r="AS67" s="5"/>
      <c r="AT67" s="5"/>
      <c r="AU67" s="5"/>
      <c r="AV67" s="53"/>
      <c r="AW67" s="53"/>
      <c r="AX67" s="53"/>
      <c r="AY67" s="53"/>
      <c r="AZ67" s="53"/>
      <c r="BA67" s="53"/>
      <c r="BB67" s="53"/>
      <c r="BC67" s="53"/>
      <c r="BD67" s="53"/>
      <c r="BE67" s="53"/>
    </row>
    <row r="68" spans="1:57">
      <c r="A68" s="5"/>
      <c r="B68" s="5" t="s">
        <v>390</v>
      </c>
      <c r="C68" s="816" t="s">
        <v>391</v>
      </c>
      <c r="D68" s="129">
        <f>'Sam-Pojazdy'!Y70</f>
        <v>17516426.583999999</v>
      </c>
      <c r="E68" s="130"/>
      <c r="F68" s="788"/>
      <c r="G68" s="131">
        <f>'Sam-Pojazdy'!AA70</f>
        <v>17201.130905488</v>
      </c>
      <c r="H68" s="53"/>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775"/>
      <c r="AM68" s="5"/>
      <c r="AN68" s="5"/>
      <c r="AO68" s="5"/>
      <c r="AP68" s="5"/>
      <c r="AQ68" s="5"/>
      <c r="AR68" s="5"/>
      <c r="AS68" s="5"/>
      <c r="AT68" s="5"/>
      <c r="AU68" s="5"/>
      <c r="AV68" s="53"/>
      <c r="AW68" s="53"/>
      <c r="AX68" s="53"/>
      <c r="AY68" s="53"/>
      <c r="AZ68" s="53"/>
      <c r="BA68" s="53"/>
      <c r="BB68" s="53"/>
      <c r="BC68" s="53"/>
      <c r="BD68" s="53"/>
      <c r="BE68" s="53"/>
    </row>
    <row r="69" spans="1:57" ht="13.5" thickBot="1">
      <c r="A69" s="5"/>
      <c r="B69" s="132"/>
      <c r="C69" s="132"/>
      <c r="D69" s="132"/>
      <c r="E69" s="132"/>
      <c r="F69" s="787"/>
      <c r="G69" s="132"/>
      <c r="H69" s="127"/>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775"/>
      <c r="AM69" s="5"/>
      <c r="AN69" s="5"/>
      <c r="AO69" s="5"/>
      <c r="AP69" s="5"/>
      <c r="AQ69" s="5"/>
      <c r="AR69" s="5"/>
      <c r="AS69" s="5"/>
      <c r="AT69" s="5"/>
      <c r="AU69" s="5"/>
      <c r="AV69" s="53"/>
      <c r="AW69" s="53"/>
      <c r="AX69" s="53"/>
      <c r="AY69" s="53"/>
      <c r="AZ69" s="53"/>
      <c r="BA69" s="53"/>
      <c r="BB69" s="53"/>
      <c r="BC69" s="53"/>
      <c r="BD69" s="53"/>
      <c r="BE69" s="53"/>
    </row>
    <row r="70" spans="1:57">
      <c r="A70" s="5"/>
      <c r="B70" s="133" t="s">
        <v>392</v>
      </c>
      <c r="C70" s="134">
        <v>1</v>
      </c>
      <c r="E70" s="53"/>
      <c r="F70" s="782"/>
      <c r="G70" s="53"/>
      <c r="H70" s="53"/>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775"/>
      <c r="AM70" s="5"/>
      <c r="AN70" s="5"/>
      <c r="AO70" s="5"/>
      <c r="AP70" s="5"/>
      <c r="AQ70" s="5"/>
      <c r="AR70" s="5"/>
      <c r="AS70" s="5"/>
      <c r="AT70" s="5"/>
      <c r="AU70" s="5"/>
      <c r="AV70" s="53"/>
      <c r="AW70" s="53"/>
      <c r="AX70" s="53"/>
      <c r="AY70" s="53"/>
      <c r="AZ70" s="53"/>
      <c r="BA70" s="53"/>
      <c r="BB70" s="53"/>
      <c r="BC70" s="53"/>
      <c r="BD70" s="53"/>
      <c r="BE70" s="53"/>
    </row>
    <row r="71" spans="1:57">
      <c r="A71" s="5"/>
      <c r="B71" s="53"/>
      <c r="C71" s="134">
        <v>2</v>
      </c>
      <c r="D71" s="53"/>
      <c r="E71" s="53"/>
      <c r="F71" s="782"/>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780"/>
      <c r="AM71" s="53"/>
      <c r="AN71" s="53"/>
      <c r="AO71" s="53"/>
      <c r="AP71" s="53"/>
      <c r="AQ71" s="53"/>
      <c r="AR71" s="53"/>
      <c r="AS71" s="53"/>
      <c r="AT71" s="53"/>
      <c r="AU71" s="53"/>
      <c r="AV71" s="53"/>
      <c r="AW71" s="53"/>
      <c r="AX71" s="53"/>
      <c r="AY71" s="53"/>
      <c r="AZ71" s="53"/>
      <c r="BA71" s="53"/>
      <c r="BB71" s="53"/>
      <c r="BC71" s="53"/>
      <c r="BD71" s="53"/>
      <c r="BE71" s="53"/>
    </row>
    <row r="72" spans="1:57">
      <c r="A72" s="5"/>
      <c r="B72" s="53"/>
      <c r="C72" s="134">
        <v>3</v>
      </c>
      <c r="D72" s="53"/>
      <c r="E72" s="53"/>
      <c r="F72" s="782"/>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780"/>
      <c r="AM72" s="53"/>
      <c r="AN72" s="53"/>
      <c r="AO72" s="53"/>
      <c r="AP72" s="53"/>
      <c r="AQ72" s="53"/>
      <c r="AR72" s="53"/>
      <c r="AS72" s="53"/>
      <c r="AT72" s="53"/>
      <c r="AU72" s="53"/>
      <c r="AV72" s="53"/>
      <c r="AW72" s="53"/>
      <c r="AX72" s="53"/>
      <c r="AY72" s="53"/>
      <c r="AZ72" s="53"/>
      <c r="BA72" s="53"/>
      <c r="BB72" s="53"/>
      <c r="BC72" s="53"/>
      <c r="BD72" s="53"/>
      <c r="BE72" s="53"/>
    </row>
    <row r="73" spans="1:57">
      <c r="A73" s="5"/>
      <c r="B73" s="5"/>
      <c r="C73" s="5"/>
      <c r="D73" s="53"/>
      <c r="E73" s="53"/>
      <c r="F73" s="782"/>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780"/>
      <c r="AM73" s="53"/>
      <c r="AN73" s="53"/>
      <c r="AO73" s="53"/>
      <c r="AP73" s="53"/>
      <c r="AQ73" s="53"/>
      <c r="AR73" s="53"/>
      <c r="AS73" s="53"/>
      <c r="AT73" s="53"/>
      <c r="AU73" s="53"/>
      <c r="AV73" s="53"/>
      <c r="AW73" s="53"/>
      <c r="AX73" s="53"/>
      <c r="AY73" s="53"/>
      <c r="AZ73" s="53"/>
      <c r="BA73" s="53"/>
      <c r="BB73" s="53"/>
      <c r="BC73" s="53"/>
      <c r="BD73" s="53"/>
      <c r="BE73" s="53"/>
    </row>
    <row r="74" spans="1:57">
      <c r="A74" s="5"/>
      <c r="B74" s="5"/>
      <c r="C74" s="5"/>
      <c r="D74" s="53"/>
      <c r="E74" s="53"/>
      <c r="F74" s="782"/>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780"/>
      <c r="AM74" s="53"/>
      <c r="AN74" s="53"/>
      <c r="AO74" s="53"/>
      <c r="AP74" s="53"/>
      <c r="AQ74" s="53"/>
      <c r="AR74" s="53"/>
      <c r="AS74" s="53"/>
      <c r="AT74" s="53"/>
      <c r="AU74" s="53"/>
      <c r="AV74" s="53"/>
      <c r="AW74" s="53"/>
      <c r="AX74" s="53"/>
      <c r="AY74" s="53"/>
      <c r="AZ74" s="53"/>
      <c r="BA74" s="53"/>
      <c r="BB74" s="53"/>
      <c r="BC74" s="53"/>
      <c r="BD74" s="53"/>
      <c r="BE74" s="53"/>
    </row>
    <row r="75" spans="1:57">
      <c r="A75" s="5"/>
      <c r="B75" s="5"/>
      <c r="C75" s="5"/>
      <c r="D75" s="53"/>
      <c r="E75" s="53"/>
      <c r="F75" s="782"/>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780"/>
      <c r="AM75" s="53"/>
      <c r="AN75" s="53"/>
      <c r="AO75" s="53"/>
      <c r="AP75" s="53"/>
      <c r="AQ75" s="53"/>
      <c r="AR75" s="53"/>
      <c r="AS75" s="53"/>
      <c r="AT75" s="53"/>
      <c r="AU75" s="53"/>
      <c r="AV75" s="53"/>
      <c r="AW75" s="53"/>
      <c r="AX75" s="53"/>
      <c r="AY75" s="53"/>
      <c r="AZ75" s="53"/>
      <c r="BA75" s="53"/>
      <c r="BB75" s="53"/>
      <c r="BC75" s="53"/>
      <c r="BD75" s="53"/>
      <c r="BE75" s="53"/>
    </row>
    <row r="76" spans="1:57">
      <c r="A76" s="5"/>
      <c r="B76" s="5"/>
      <c r="C76" s="5"/>
      <c r="D76" s="53"/>
      <c r="E76" s="53"/>
      <c r="F76" s="782"/>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780"/>
      <c r="AM76" s="53"/>
      <c r="AN76" s="53"/>
      <c r="AO76" s="53"/>
      <c r="AP76" s="53"/>
      <c r="AQ76" s="53"/>
      <c r="AR76" s="53"/>
      <c r="AS76" s="53"/>
      <c r="AT76" s="53"/>
      <c r="AU76" s="53"/>
      <c r="AV76" s="53"/>
      <c r="AW76" s="53"/>
      <c r="AX76" s="53"/>
      <c r="AY76" s="53"/>
      <c r="AZ76" s="53"/>
      <c r="BA76" s="53"/>
      <c r="BB76" s="53"/>
      <c r="BC76" s="53"/>
      <c r="BD76" s="53"/>
      <c r="BE76" s="53"/>
    </row>
    <row r="77" spans="1:57">
      <c r="A77" s="5"/>
      <c r="B77" s="5"/>
      <c r="C77" s="5"/>
      <c r="D77" s="53"/>
      <c r="E77" s="53"/>
      <c r="F77" s="782"/>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780"/>
      <c r="AM77" s="53"/>
      <c r="AN77" s="53"/>
      <c r="AO77" s="53"/>
      <c r="AP77" s="53"/>
      <c r="AQ77" s="53"/>
      <c r="AR77" s="53"/>
      <c r="AS77" s="53"/>
      <c r="AT77" s="53"/>
      <c r="AU77" s="53"/>
      <c r="AV77" s="53"/>
      <c r="AW77" s="53"/>
      <c r="AX77" s="53"/>
      <c r="AY77" s="53"/>
      <c r="AZ77" s="53"/>
      <c r="BA77" s="53"/>
      <c r="BB77" s="53"/>
      <c r="BC77" s="53"/>
      <c r="BD77" s="53"/>
      <c r="BE77" s="53"/>
    </row>
    <row r="78" spans="1:57">
      <c r="A78" s="5"/>
      <c r="B78" s="5"/>
      <c r="C78" s="5"/>
      <c r="D78" s="53"/>
      <c r="E78" s="53"/>
      <c r="F78" s="782"/>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780"/>
      <c r="AM78" s="53"/>
      <c r="AN78" s="53"/>
      <c r="AO78" s="53"/>
      <c r="AP78" s="53"/>
      <c r="AQ78" s="53"/>
      <c r="AR78" s="53"/>
      <c r="AS78" s="53"/>
      <c r="AT78" s="53"/>
      <c r="AU78" s="53"/>
      <c r="AV78" s="53"/>
      <c r="AW78" s="53"/>
      <c r="AX78" s="53"/>
      <c r="AY78" s="53"/>
      <c r="AZ78" s="53"/>
      <c r="BA78" s="53"/>
      <c r="BB78" s="53"/>
      <c r="BC78" s="53"/>
      <c r="BD78" s="53"/>
      <c r="BE78" s="53"/>
    </row>
    <row r="79" spans="1:57">
      <c r="A79" s="5"/>
      <c r="B79" s="5"/>
      <c r="C79" s="5"/>
      <c r="D79" s="53"/>
      <c r="E79" s="53"/>
      <c r="F79" s="782"/>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780"/>
      <c r="AM79" s="53"/>
      <c r="AN79" s="53"/>
      <c r="AO79" s="53"/>
      <c r="AP79" s="53"/>
      <c r="AQ79" s="53"/>
      <c r="AR79" s="53"/>
      <c r="AS79" s="53"/>
      <c r="AT79" s="53"/>
      <c r="AU79" s="53"/>
      <c r="AV79" s="53"/>
      <c r="AW79" s="53"/>
      <c r="AX79" s="53"/>
      <c r="AY79" s="53"/>
      <c r="AZ79" s="53"/>
      <c r="BA79" s="53"/>
      <c r="BB79" s="53"/>
      <c r="BC79" s="53"/>
      <c r="BD79" s="53"/>
      <c r="BE79" s="53"/>
    </row>
    <row r="80" spans="1:57">
      <c r="A80" s="5"/>
      <c r="B80" s="5"/>
      <c r="C80" s="5"/>
      <c r="D80" s="53"/>
      <c r="E80" s="53"/>
      <c r="F80" s="782"/>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780"/>
      <c r="AM80" s="53"/>
      <c r="AN80" s="53"/>
      <c r="AO80" s="53"/>
      <c r="AP80" s="53"/>
      <c r="AQ80" s="53"/>
      <c r="AR80" s="53"/>
      <c r="AS80" s="53"/>
      <c r="AT80" s="53"/>
      <c r="AU80" s="53"/>
      <c r="AV80" s="53"/>
      <c r="AW80" s="53"/>
      <c r="AX80" s="53"/>
      <c r="AY80" s="53"/>
      <c r="AZ80" s="53"/>
      <c r="BA80" s="53"/>
      <c r="BB80" s="53"/>
      <c r="BC80" s="53"/>
      <c r="BD80" s="53"/>
      <c r="BE80" s="53"/>
    </row>
    <row r="81" spans="1:57">
      <c r="A81" s="5"/>
      <c r="B81" s="5"/>
      <c r="C81" s="5"/>
      <c r="D81" s="53"/>
      <c r="E81" s="53"/>
      <c r="F81" s="782"/>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780"/>
      <c r="AM81" s="53"/>
      <c r="AN81" s="53"/>
      <c r="AO81" s="53"/>
      <c r="AP81" s="53"/>
      <c r="AQ81" s="53"/>
      <c r="AR81" s="53"/>
      <c r="AS81" s="53"/>
      <c r="AT81" s="53"/>
      <c r="AU81" s="53"/>
      <c r="AV81" s="53"/>
      <c r="AW81" s="53"/>
      <c r="AX81" s="53"/>
      <c r="AY81" s="53"/>
      <c r="AZ81" s="53"/>
      <c r="BA81" s="53"/>
      <c r="BB81" s="53"/>
      <c r="BC81" s="53"/>
      <c r="BD81" s="53"/>
      <c r="BE81" s="53"/>
    </row>
    <row r="82" spans="1:57">
      <c r="A82" s="5"/>
      <c r="B82" s="5"/>
      <c r="C82" s="5"/>
      <c r="D82" s="53"/>
      <c r="E82" s="53"/>
      <c r="F82" s="782"/>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780"/>
      <c r="AM82" s="53"/>
      <c r="AN82" s="53"/>
      <c r="AO82" s="53"/>
      <c r="AP82" s="53"/>
      <c r="AQ82" s="53"/>
      <c r="AR82" s="53"/>
      <c r="AS82" s="53"/>
      <c r="AT82" s="53"/>
      <c r="AU82" s="53"/>
      <c r="AV82" s="53"/>
      <c r="AW82" s="53"/>
      <c r="AX82" s="53"/>
      <c r="AY82" s="53"/>
      <c r="AZ82" s="53"/>
      <c r="BA82" s="53"/>
      <c r="BB82" s="53"/>
      <c r="BC82" s="53"/>
      <c r="BD82" s="53"/>
      <c r="BE82" s="53"/>
    </row>
    <row r="83" spans="1:57">
      <c r="A83" s="5"/>
      <c r="B83" s="5"/>
      <c r="C83" s="5"/>
      <c r="D83" s="53"/>
      <c r="E83" s="53"/>
      <c r="F83" s="782"/>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780"/>
      <c r="AM83" s="53"/>
      <c r="AN83" s="53"/>
      <c r="AO83" s="53"/>
      <c r="AP83" s="53"/>
      <c r="AQ83" s="53"/>
      <c r="AR83" s="53"/>
      <c r="AS83" s="53"/>
      <c r="AT83" s="53"/>
      <c r="AU83" s="53"/>
      <c r="AV83" s="53"/>
      <c r="AW83" s="53"/>
      <c r="AX83" s="53"/>
      <c r="AY83" s="53"/>
      <c r="AZ83" s="53"/>
      <c r="BA83" s="53"/>
      <c r="BB83" s="53"/>
      <c r="BC83" s="53"/>
      <c r="BD83" s="53"/>
      <c r="BE83" s="53"/>
    </row>
    <row r="84" spans="1:57">
      <c r="A84" s="5"/>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780"/>
      <c r="AM84" s="53"/>
      <c r="AN84" s="53"/>
      <c r="AO84" s="53"/>
      <c r="AP84" s="53"/>
      <c r="AQ84" s="53"/>
      <c r="AR84" s="53"/>
      <c r="AS84" s="53"/>
      <c r="AT84" s="53"/>
      <c r="AU84" s="53"/>
      <c r="AV84" s="53"/>
      <c r="AW84" s="53"/>
      <c r="AX84" s="53"/>
      <c r="AY84" s="53"/>
      <c r="AZ84" s="53"/>
      <c r="BA84" s="53"/>
      <c r="BB84" s="53"/>
      <c r="BC84" s="53"/>
      <c r="BD84" s="53"/>
      <c r="BE84" s="53"/>
    </row>
    <row r="85" spans="1:57">
      <c r="A85" s="5"/>
      <c r="AV85" s="5"/>
      <c r="AW85" s="60"/>
      <c r="AX85" s="5"/>
      <c r="AY85" s="5"/>
      <c r="AZ85" s="5"/>
      <c r="BA85" s="5"/>
      <c r="BB85" s="5"/>
      <c r="BC85" s="5"/>
      <c r="BD85" s="5"/>
    </row>
    <row r="86" spans="1:57">
      <c r="A86" s="5"/>
      <c r="AV86" s="5"/>
      <c r="AW86" s="60"/>
      <c r="AX86" s="5"/>
      <c r="AY86" s="5"/>
      <c r="AZ86" s="5"/>
      <c r="BA86" s="5"/>
      <c r="BB86" s="5"/>
      <c r="BC86" s="5"/>
      <c r="BD86" s="5"/>
    </row>
    <row r="87" spans="1:57">
      <c r="A87" s="5"/>
      <c r="AV87" s="5"/>
      <c r="AW87" s="60"/>
      <c r="AX87" s="5"/>
      <c r="AY87" s="5"/>
      <c r="AZ87" s="5"/>
      <c r="BA87" s="5"/>
      <c r="BB87" s="5"/>
      <c r="BC87" s="5"/>
      <c r="BD87" s="5"/>
    </row>
    <row r="88" spans="1:57">
      <c r="A88" s="5"/>
      <c r="AV88" s="5"/>
      <c r="AW88" s="60"/>
      <c r="AX88" s="5"/>
      <c r="AY88" s="5"/>
      <c r="AZ88" s="5"/>
      <c r="BA88" s="5"/>
      <c r="BB88" s="5"/>
      <c r="BC88" s="5"/>
      <c r="BD88" s="5"/>
    </row>
    <row r="89" spans="1:57">
      <c r="A89" s="5"/>
      <c r="AV89" s="5"/>
      <c r="AW89" s="60"/>
      <c r="AX89" s="5"/>
      <c r="AY89" s="5"/>
      <c r="AZ89" s="5"/>
      <c r="BA89" s="5"/>
      <c r="BB89" s="5"/>
      <c r="BC89" s="5"/>
      <c r="BD89" s="5"/>
    </row>
    <row r="90" spans="1:57">
      <c r="A90" s="5"/>
      <c r="AV90" s="5"/>
      <c r="AW90" s="60"/>
      <c r="AX90" s="5"/>
      <c r="AY90" s="5"/>
      <c r="AZ90" s="5"/>
      <c r="BA90" s="5"/>
      <c r="BB90" s="5"/>
      <c r="BC90" s="5"/>
      <c r="BD90" s="5"/>
    </row>
    <row r="91" spans="1:57">
      <c r="A91" s="5"/>
      <c r="AV91" s="5"/>
      <c r="AW91" s="60"/>
      <c r="AX91" s="5"/>
      <c r="AY91" s="5"/>
      <c r="AZ91" s="5"/>
      <c r="BA91" s="5"/>
      <c r="BB91" s="5"/>
      <c r="BC91" s="5"/>
      <c r="BD91" s="5"/>
    </row>
    <row r="92" spans="1:57">
      <c r="A92" s="5"/>
      <c r="AV92" s="5"/>
      <c r="AW92" s="60"/>
      <c r="AX92" s="5"/>
      <c r="AY92" s="5"/>
      <c r="AZ92" s="5"/>
      <c r="BA92" s="5"/>
      <c r="BB92" s="5"/>
      <c r="BC92" s="5"/>
      <c r="BD92" s="5"/>
    </row>
    <row r="93" spans="1:57">
      <c r="A93" s="5"/>
      <c r="AV93" s="5"/>
      <c r="AW93" s="60"/>
      <c r="AX93" s="5"/>
      <c r="AY93" s="5"/>
      <c r="AZ93" s="5"/>
      <c r="BA93" s="5"/>
      <c r="BB93" s="5"/>
      <c r="BC93" s="5"/>
      <c r="BD93" s="5"/>
    </row>
    <row r="94" spans="1:57">
      <c r="A94" s="5"/>
      <c r="AV94" s="5"/>
      <c r="AW94" s="60"/>
      <c r="AX94" s="5"/>
      <c r="AY94" s="5"/>
      <c r="AZ94" s="5"/>
      <c r="BA94" s="5"/>
      <c r="BB94" s="5"/>
      <c r="BC94" s="5"/>
      <c r="BD94" s="5"/>
    </row>
    <row r="95" spans="1:57">
      <c r="A95" s="5"/>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H95" s="5"/>
      <c r="AI95" s="5"/>
      <c r="AJ95" s="5"/>
      <c r="AK95" s="5"/>
      <c r="AL95" s="775"/>
      <c r="AM95" s="5"/>
      <c r="AN95" s="5"/>
      <c r="AO95" s="5"/>
      <c r="AP95" s="59"/>
      <c r="AQ95" s="59"/>
      <c r="AR95" s="59"/>
      <c r="AS95" s="59"/>
      <c r="AT95" s="59"/>
      <c r="AU95" s="59"/>
      <c r="AV95" s="5"/>
      <c r="AW95" s="60"/>
      <c r="AX95" s="5"/>
      <c r="AY95" s="5"/>
      <c r="AZ95" s="5"/>
      <c r="BA95" s="5"/>
      <c r="BB95" s="5"/>
      <c r="BC95" s="5"/>
      <c r="BD95" s="5"/>
    </row>
    <row r="96" spans="1:57">
      <c r="A96" s="5"/>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H96" s="5"/>
      <c r="AI96" s="5"/>
      <c r="AJ96" s="5"/>
      <c r="AK96" s="5"/>
      <c r="AL96" s="775"/>
      <c r="AM96" s="5"/>
      <c r="AN96" s="5"/>
      <c r="AO96" s="5"/>
      <c r="AP96" s="59"/>
      <c r="AQ96" s="59"/>
      <c r="AR96" s="59"/>
      <c r="AS96" s="59"/>
      <c r="AT96" s="59"/>
      <c r="AU96" s="59"/>
      <c r="AV96" s="5"/>
      <c r="AW96" s="60"/>
      <c r="AX96" s="5"/>
      <c r="AY96" s="5"/>
      <c r="AZ96" s="5"/>
      <c r="BA96" s="5"/>
      <c r="BB96" s="5"/>
      <c r="BC96" s="5"/>
      <c r="BD96" s="5"/>
    </row>
    <row r="97" spans="1:56">
      <c r="A97" s="5"/>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H97" s="5"/>
      <c r="AI97" s="5"/>
      <c r="AJ97" s="5"/>
      <c r="AK97" s="5"/>
      <c r="AL97" s="775"/>
      <c r="AM97" s="5"/>
      <c r="AN97" s="5"/>
      <c r="AO97" s="5"/>
      <c r="AP97" s="59"/>
      <c r="AQ97" s="59"/>
      <c r="AR97" s="59"/>
      <c r="AS97" s="59"/>
      <c r="AT97" s="59"/>
      <c r="AU97" s="59"/>
      <c r="AV97" s="5"/>
      <c r="AW97" s="60"/>
      <c r="AX97" s="5"/>
      <c r="AY97" s="5"/>
      <c r="AZ97" s="5"/>
      <c r="BA97" s="5"/>
      <c r="BB97" s="5"/>
      <c r="BC97" s="5"/>
      <c r="BD97" s="5"/>
    </row>
    <row r="98" spans="1:56">
      <c r="A98" s="5"/>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H98" s="5"/>
      <c r="AI98" s="5"/>
      <c r="AJ98" s="5"/>
      <c r="AK98" s="5"/>
      <c r="AL98" s="775"/>
      <c r="AM98" s="5"/>
      <c r="AN98" s="5"/>
      <c r="AO98" s="5"/>
      <c r="AP98" s="59"/>
      <c r="AQ98" s="59"/>
      <c r="AR98" s="59"/>
      <c r="AS98" s="59"/>
      <c r="AT98" s="59"/>
      <c r="AU98" s="59"/>
      <c r="AV98" s="5"/>
      <c r="AW98" s="60"/>
    </row>
    <row r="99" spans="1:56">
      <c r="A99" s="5"/>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H99" s="5"/>
      <c r="AI99" s="5"/>
      <c r="AJ99" s="5"/>
      <c r="AK99" s="5"/>
      <c r="AL99" s="775"/>
      <c r="AM99" s="5"/>
      <c r="AN99" s="5"/>
      <c r="AO99" s="5"/>
      <c r="AP99" s="59"/>
      <c r="AQ99" s="59"/>
      <c r="AR99" s="59"/>
      <c r="AS99" s="59"/>
      <c r="AT99" s="59"/>
      <c r="AU99" s="59"/>
      <c r="AV99" s="5"/>
      <c r="AW99" s="60"/>
    </row>
    <row r="100" spans="1:56">
      <c r="A100" s="5"/>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H100" s="5"/>
      <c r="AI100" s="5"/>
      <c r="AJ100" s="5"/>
      <c r="AK100" s="5"/>
      <c r="AL100" s="775"/>
      <c r="AM100" s="5"/>
      <c r="AN100" s="5"/>
      <c r="AO100" s="5"/>
      <c r="AP100" s="59"/>
      <c r="AQ100" s="59"/>
      <c r="AR100" s="59"/>
      <c r="AS100" s="59"/>
      <c r="AT100" s="59"/>
      <c r="AU100" s="59"/>
      <c r="AV100" s="5"/>
      <c r="AW100" s="60"/>
    </row>
    <row r="101" spans="1:56">
      <c r="A101" s="5"/>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H101" s="5"/>
      <c r="AI101" s="5"/>
      <c r="AJ101" s="5"/>
      <c r="AK101" s="5"/>
      <c r="AL101" s="775"/>
      <c r="AM101" s="5"/>
      <c r="AN101" s="5"/>
      <c r="AO101" s="5"/>
      <c r="AP101" s="59"/>
      <c r="AQ101" s="59"/>
      <c r="AR101" s="59"/>
      <c r="AS101" s="59"/>
      <c r="AT101" s="59"/>
      <c r="AU101" s="59"/>
      <c r="AV101" s="5"/>
      <c r="AW101" s="60"/>
    </row>
    <row r="102" spans="1:56">
      <c r="A102" s="5"/>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H102" s="5"/>
      <c r="AI102" s="5"/>
      <c r="AJ102" s="5"/>
      <c r="AK102" s="5"/>
      <c r="AL102" s="775"/>
      <c r="AM102" s="5"/>
      <c r="AN102" s="5"/>
      <c r="AO102" s="5"/>
      <c r="AP102" s="59"/>
      <c r="AQ102" s="59"/>
      <c r="AR102" s="59"/>
      <c r="AS102" s="59"/>
      <c r="AT102" s="59"/>
      <c r="AU102" s="59"/>
      <c r="AV102" s="5"/>
      <c r="AW102" s="60"/>
    </row>
    <row r="103" spans="1:56">
      <c r="A103" s="5"/>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H103" s="5"/>
      <c r="AI103" s="5"/>
      <c r="AJ103" s="5"/>
      <c r="AK103" s="5"/>
      <c r="AL103" s="775"/>
      <c r="AM103" s="5"/>
      <c r="AN103" s="5"/>
      <c r="AO103" s="5"/>
      <c r="AP103" s="59"/>
      <c r="AQ103" s="59"/>
      <c r="AR103" s="59"/>
      <c r="AS103" s="59"/>
      <c r="AT103" s="59"/>
      <c r="AU103" s="59"/>
      <c r="AV103" s="5"/>
      <c r="AW103" s="60"/>
    </row>
    <row r="104" spans="1:56">
      <c r="A104" s="5"/>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H104" s="5"/>
      <c r="AI104" s="5"/>
      <c r="AJ104" s="5"/>
      <c r="AK104" s="5"/>
      <c r="AL104" s="775"/>
      <c r="AM104" s="5"/>
      <c r="AN104" s="5"/>
      <c r="AO104" s="5"/>
      <c r="AP104" s="59"/>
      <c r="AQ104" s="59"/>
      <c r="AR104" s="59"/>
      <c r="AS104" s="59"/>
      <c r="AT104" s="59"/>
      <c r="AU104" s="59"/>
      <c r="AV104" s="5"/>
      <c r="AW104" s="60"/>
    </row>
    <row r="105" spans="1:56">
      <c r="A105" s="5"/>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H105" s="5"/>
      <c r="AI105" s="5"/>
      <c r="AJ105" s="5"/>
      <c r="AK105" s="5"/>
      <c r="AL105" s="775"/>
      <c r="AM105" s="5"/>
      <c r="AN105" s="5"/>
      <c r="AO105" s="5"/>
      <c r="AP105" s="59"/>
      <c r="AQ105" s="59"/>
      <c r="AR105" s="59"/>
      <c r="AS105" s="59"/>
      <c r="AT105" s="59"/>
      <c r="AU105" s="59"/>
      <c r="AV105" s="5"/>
      <c r="AW105" s="60"/>
    </row>
    <row r="106" spans="1:56">
      <c r="A106" s="5"/>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H106" s="5"/>
      <c r="AI106" s="5"/>
      <c r="AJ106" s="5"/>
      <c r="AK106" s="5"/>
      <c r="AL106" s="775"/>
      <c r="AM106" s="5"/>
      <c r="AN106" s="5"/>
      <c r="AO106" s="5"/>
      <c r="AP106" s="59"/>
      <c r="AQ106" s="59"/>
      <c r="AR106" s="59"/>
      <c r="AS106" s="59"/>
      <c r="AT106" s="59"/>
      <c r="AU106" s="59"/>
      <c r="AV106" s="5"/>
      <c r="AW106" s="60"/>
    </row>
    <row r="107" spans="1:56">
      <c r="A107" s="5"/>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H107" s="5"/>
      <c r="AI107" s="5"/>
      <c r="AJ107" s="5"/>
      <c r="AK107" s="5"/>
      <c r="AL107" s="775"/>
      <c r="AM107" s="5"/>
      <c r="AN107" s="5"/>
      <c r="AO107" s="5"/>
      <c r="AP107" s="59"/>
      <c r="AQ107" s="59"/>
      <c r="AR107" s="59"/>
      <c r="AS107" s="59"/>
      <c r="AT107" s="59"/>
      <c r="AU107" s="59"/>
      <c r="AV107" s="5"/>
      <c r="AW107" s="60"/>
    </row>
    <row r="108" spans="1:56">
      <c r="A108" s="5"/>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H108" s="5"/>
      <c r="AI108" s="5"/>
      <c r="AJ108" s="5"/>
      <c r="AK108" s="5"/>
      <c r="AL108" s="775"/>
      <c r="AM108" s="5"/>
      <c r="AN108" s="5"/>
      <c r="AO108" s="5"/>
      <c r="AP108" s="59"/>
      <c r="AQ108" s="59"/>
      <c r="AR108" s="59"/>
      <c r="AS108" s="59"/>
      <c r="AT108" s="59"/>
      <c r="AU108" s="59"/>
      <c r="AV108" s="5"/>
    </row>
    <row r="109" spans="1:56">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H109" s="5"/>
      <c r="AI109" s="5"/>
      <c r="AJ109" s="5"/>
      <c r="AK109" s="5"/>
      <c r="AL109" s="775"/>
      <c r="AM109" s="5"/>
      <c r="AN109" s="5"/>
      <c r="AO109" s="5"/>
      <c r="AP109" s="59"/>
      <c r="AQ109" s="59"/>
      <c r="AR109" s="59"/>
      <c r="AS109" s="59"/>
      <c r="AT109" s="59"/>
      <c r="AU109" s="59"/>
      <c r="AV109" s="5"/>
    </row>
    <row r="110" spans="1:56">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H110" s="5"/>
      <c r="AI110" s="5"/>
      <c r="AJ110" s="5"/>
      <c r="AK110" s="5"/>
      <c r="AL110" s="775"/>
      <c r="AM110" s="5"/>
      <c r="AN110" s="5"/>
      <c r="AO110" s="5"/>
      <c r="AP110" s="59"/>
      <c r="AQ110" s="59"/>
      <c r="AR110" s="59"/>
      <c r="AS110" s="59"/>
      <c r="AT110" s="59"/>
      <c r="AU110" s="59"/>
      <c r="AV110" s="5"/>
    </row>
    <row r="111" spans="1:56">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H111" s="5"/>
      <c r="AI111" s="5"/>
      <c r="AJ111" s="5"/>
      <c r="AK111" s="5"/>
      <c r="AL111" s="775"/>
      <c r="AM111" s="5"/>
      <c r="AN111" s="5"/>
      <c r="AO111" s="5"/>
      <c r="AP111" s="59"/>
      <c r="AQ111" s="59"/>
      <c r="AR111" s="59"/>
      <c r="AS111" s="59"/>
      <c r="AT111" s="59"/>
      <c r="AU111" s="59"/>
      <c r="AV111" s="5"/>
    </row>
    <row r="112" spans="1:56">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H112" s="5"/>
      <c r="AI112" s="5"/>
      <c r="AJ112" s="5"/>
      <c r="AK112" s="5"/>
      <c r="AL112" s="775"/>
      <c r="AM112" s="5"/>
      <c r="AN112" s="5"/>
      <c r="AO112" s="5"/>
      <c r="AP112" s="59"/>
      <c r="AQ112" s="59"/>
      <c r="AR112" s="59"/>
      <c r="AS112" s="59"/>
      <c r="AT112" s="59"/>
      <c r="AU112" s="59"/>
      <c r="AV112" s="5"/>
    </row>
    <row r="113" spans="2:48">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H113" s="5"/>
      <c r="AI113" s="5"/>
      <c r="AJ113" s="5"/>
      <c r="AK113" s="5"/>
      <c r="AL113" s="775"/>
      <c r="AM113" s="5"/>
      <c r="AN113" s="5"/>
      <c r="AO113" s="5"/>
      <c r="AP113" s="59"/>
      <c r="AQ113" s="59"/>
      <c r="AR113" s="59"/>
      <c r="AS113" s="59"/>
      <c r="AT113" s="59"/>
      <c r="AU113" s="59"/>
      <c r="AV113" s="5"/>
    </row>
    <row r="114" spans="2:48">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H114" s="5"/>
      <c r="AI114" s="5"/>
      <c r="AJ114" s="5"/>
      <c r="AK114" s="5"/>
      <c r="AL114" s="775"/>
      <c r="AM114" s="5"/>
      <c r="AN114" s="5"/>
      <c r="AO114" s="5"/>
      <c r="AP114" s="59"/>
      <c r="AQ114" s="59"/>
      <c r="AR114" s="59"/>
      <c r="AS114" s="59"/>
      <c r="AT114" s="59"/>
      <c r="AU114" s="59"/>
      <c r="AV114" s="5"/>
    </row>
    <row r="115" spans="2:48">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H115" s="5"/>
      <c r="AI115" s="5"/>
      <c r="AJ115" s="5"/>
      <c r="AK115" s="5"/>
      <c r="AL115" s="775"/>
      <c r="AM115" s="5"/>
      <c r="AN115" s="5"/>
      <c r="AO115" s="5"/>
      <c r="AP115" s="59"/>
      <c r="AQ115" s="59"/>
      <c r="AR115" s="59"/>
      <c r="AS115" s="59"/>
      <c r="AT115" s="59"/>
      <c r="AU115" s="59"/>
      <c r="AV115" s="5"/>
    </row>
    <row r="116" spans="2:48">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H116" s="5"/>
      <c r="AI116" s="5"/>
      <c r="AJ116" s="5"/>
      <c r="AK116" s="5"/>
      <c r="AL116" s="775"/>
      <c r="AM116" s="5"/>
      <c r="AN116" s="5"/>
      <c r="AO116" s="5"/>
      <c r="AP116" s="59"/>
      <c r="AQ116" s="59"/>
      <c r="AR116" s="59"/>
      <c r="AS116" s="59"/>
      <c r="AT116" s="59"/>
      <c r="AU116" s="59"/>
      <c r="AV116" s="5"/>
    </row>
    <row r="117" spans="2:48">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H117" s="5"/>
      <c r="AI117" s="5"/>
      <c r="AJ117" s="5"/>
      <c r="AK117" s="5"/>
      <c r="AL117" s="775"/>
      <c r="AM117" s="5"/>
      <c r="AN117" s="5"/>
      <c r="AO117" s="5"/>
      <c r="AP117" s="59"/>
      <c r="AQ117" s="59"/>
      <c r="AR117" s="59"/>
      <c r="AS117" s="59"/>
      <c r="AT117" s="59"/>
      <c r="AU117" s="59"/>
      <c r="AV117" s="5"/>
    </row>
    <row r="118" spans="2:48">
      <c r="B118" s="5"/>
      <c r="C118" s="5"/>
      <c r="D118" s="53"/>
      <c r="E118" s="53"/>
      <c r="F118" s="782"/>
      <c r="G118" s="53"/>
    </row>
    <row r="119" spans="2:48">
      <c r="B119" s="5"/>
      <c r="C119" s="5"/>
      <c r="D119" s="53"/>
      <c r="E119" s="53"/>
      <c r="F119" s="782"/>
      <c r="G119" s="53"/>
    </row>
    <row r="120" spans="2:48">
      <c r="B120" s="5"/>
      <c r="C120" s="5"/>
      <c r="D120" s="53"/>
      <c r="E120" s="53"/>
      <c r="F120" s="782"/>
      <c r="G120" s="53"/>
    </row>
    <row r="121" spans="2:48">
      <c r="B121" s="5"/>
      <c r="C121" s="5"/>
      <c r="D121" s="53"/>
      <c r="E121" s="53"/>
      <c r="F121" s="782"/>
      <c r="G121" s="53"/>
    </row>
    <row r="122" spans="2:48">
      <c r="B122" s="5"/>
      <c r="C122" s="5"/>
      <c r="D122" s="53"/>
      <c r="E122" s="53"/>
      <c r="F122" s="782"/>
      <c r="G122" s="53"/>
    </row>
    <row r="123" spans="2:48">
      <c r="B123" s="5"/>
      <c r="C123" s="5"/>
      <c r="D123" s="53"/>
      <c r="E123" s="53"/>
      <c r="F123" s="782"/>
      <c r="G123" s="53"/>
    </row>
    <row r="124" spans="2:48">
      <c r="B124" s="5"/>
      <c r="C124" s="5"/>
      <c r="D124" s="53"/>
      <c r="E124" s="53"/>
      <c r="F124" s="782"/>
      <c r="G124" s="53"/>
    </row>
    <row r="125" spans="2:48">
      <c r="B125" s="5"/>
      <c r="C125" s="5"/>
      <c r="D125" s="53"/>
      <c r="E125" s="53"/>
      <c r="F125" s="782"/>
      <c r="G125" s="53"/>
    </row>
    <row r="126" spans="2:48">
      <c r="B126" s="5"/>
      <c r="C126" s="5"/>
      <c r="D126" s="53"/>
      <c r="E126" s="53"/>
      <c r="F126" s="782"/>
      <c r="G126" s="53"/>
    </row>
    <row r="127" spans="2:48">
      <c r="B127" s="5"/>
      <c r="C127" s="5"/>
      <c r="D127" s="53"/>
      <c r="E127" s="53"/>
      <c r="F127" s="782"/>
      <c r="G127" s="53"/>
    </row>
    <row r="128" spans="2:48">
      <c r="B128" s="5"/>
      <c r="C128" s="5"/>
      <c r="D128" s="53"/>
      <c r="E128" s="53"/>
      <c r="F128" s="782"/>
      <c r="G128" s="53"/>
    </row>
    <row r="129" spans="2:7">
      <c r="B129" s="5"/>
      <c r="C129" s="5"/>
      <c r="D129" s="53"/>
      <c r="E129" s="53"/>
      <c r="F129" s="782"/>
      <c r="G129" s="53"/>
    </row>
    <row r="130" spans="2:7">
      <c r="B130" s="5"/>
      <c r="C130" s="5"/>
      <c r="D130" s="53"/>
      <c r="E130" s="53"/>
      <c r="F130" s="782"/>
      <c r="G130" s="53"/>
    </row>
    <row r="131" spans="2:7">
      <c r="B131" s="5"/>
      <c r="C131" s="5"/>
      <c r="D131" s="53"/>
      <c r="E131" s="53"/>
      <c r="F131" s="782"/>
      <c r="G131" s="53"/>
    </row>
    <row r="132" spans="2:7">
      <c r="B132" s="5"/>
      <c r="C132" s="5"/>
      <c r="D132" s="53"/>
      <c r="E132" s="53"/>
      <c r="F132" s="782"/>
      <c r="G132" s="53"/>
    </row>
    <row r="133" spans="2:7">
      <c r="B133" s="5"/>
      <c r="C133" s="5"/>
      <c r="D133" s="53"/>
      <c r="E133" s="53"/>
      <c r="F133" s="782"/>
      <c r="G133" s="53"/>
    </row>
    <row r="134" spans="2:7">
      <c r="B134" s="5"/>
      <c r="C134" s="5"/>
      <c r="D134" s="53"/>
      <c r="E134" s="53"/>
      <c r="F134" s="782"/>
      <c r="G134" s="53"/>
    </row>
    <row r="135" spans="2:7">
      <c r="B135" s="5"/>
      <c r="C135" s="5"/>
      <c r="D135" s="53"/>
      <c r="E135" s="53"/>
      <c r="F135" s="782"/>
      <c r="G135" s="53"/>
    </row>
    <row r="136" spans="2:7">
      <c r="B136" s="5"/>
      <c r="C136" s="5"/>
      <c r="D136" s="53"/>
      <c r="E136" s="53"/>
      <c r="F136" s="782"/>
      <c r="G136" s="53"/>
    </row>
    <row r="137" spans="2:7">
      <c r="B137" s="5"/>
      <c r="C137" s="5"/>
      <c r="D137" s="53"/>
      <c r="E137" s="53"/>
      <c r="F137" s="782"/>
      <c r="G137" s="53"/>
    </row>
    <row r="138" spans="2:7">
      <c r="B138" s="5"/>
      <c r="C138" s="5"/>
      <c r="D138" s="53"/>
      <c r="E138" s="53"/>
      <c r="F138" s="782"/>
      <c r="G138" s="53"/>
    </row>
    <row r="139" spans="2:7">
      <c r="B139" s="5"/>
      <c r="C139" s="5"/>
      <c r="D139" s="53"/>
      <c r="E139" s="53"/>
      <c r="F139" s="782"/>
      <c r="G139" s="53"/>
    </row>
    <row r="140" spans="2:7">
      <c r="B140" s="5"/>
      <c r="C140" s="5"/>
      <c r="D140" s="53"/>
      <c r="E140" s="53"/>
      <c r="F140" s="782"/>
      <c r="G140" s="53"/>
    </row>
  </sheetData>
  <mergeCells count="18">
    <mergeCell ref="AJ8:AM8"/>
    <mergeCell ref="AT8:AU8"/>
    <mergeCell ref="B63:T63"/>
    <mergeCell ref="B64:T64"/>
    <mergeCell ref="B65:T65"/>
    <mergeCell ref="R8:T8"/>
    <mergeCell ref="U8:W8"/>
    <mergeCell ref="X8:Z8"/>
    <mergeCell ref="AA8:AC8"/>
    <mergeCell ref="AD8:AF8"/>
    <mergeCell ref="AG8:AI8"/>
    <mergeCell ref="C1:H1"/>
    <mergeCell ref="B3:L3"/>
    <mergeCell ref="D6:Q6"/>
    <mergeCell ref="D8:G8"/>
    <mergeCell ref="H8:K8"/>
    <mergeCell ref="L8:N8"/>
    <mergeCell ref="O8:Q8"/>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sheetPr>
    <tabColor rgb="FF92D050"/>
  </sheetPr>
  <dimension ref="A1:BG140"/>
  <sheetViews>
    <sheetView zoomScaleNormal="100" zoomScaleSheetLayoutView="100" workbookViewId="0">
      <pane xSplit="3" ySplit="9" topLeftCell="D10" activePane="bottomRight" state="frozen"/>
      <selection pane="topRight" activeCell="D1" sqref="D1"/>
      <selection pane="bottomLeft" activeCell="A10" sqref="A10"/>
      <selection pane="bottomRight" activeCell="D68" sqref="D68"/>
    </sheetView>
  </sheetViews>
  <sheetFormatPr defaultColWidth="9" defaultRowHeight="12.75"/>
  <cols>
    <col min="1" max="1" width="4.1640625" style="3" customWidth="1"/>
    <col min="2" max="2" width="40" style="3" customWidth="1"/>
    <col min="3" max="3" width="12.6640625" style="3" customWidth="1"/>
    <col min="4" max="4" width="12.83203125" style="47" customWidth="1"/>
    <col min="5" max="5" width="12.33203125" style="47" customWidth="1"/>
    <col min="6" max="6" width="11.1640625" style="47" customWidth="1"/>
    <col min="7" max="7" width="11" style="47" customWidth="1"/>
    <col min="8" max="8" width="10.1640625" style="47" customWidth="1"/>
    <col min="9" max="9" width="10.83203125" style="47" customWidth="1"/>
    <col min="10" max="10" width="8.33203125" style="47" customWidth="1"/>
    <col min="11" max="11" width="9.33203125" style="47" customWidth="1"/>
    <col min="12" max="12" width="10.83203125" style="47" customWidth="1"/>
    <col min="13" max="13" width="10.1640625" style="47" customWidth="1"/>
    <col min="14" max="14" width="8.33203125" style="47" customWidth="1"/>
    <col min="15" max="15" width="11.33203125" style="47" customWidth="1"/>
    <col min="16" max="16" width="9.6640625" style="47" customWidth="1"/>
    <col min="17" max="17" width="8.83203125" style="47" customWidth="1"/>
    <col min="18" max="18" width="10.83203125" style="47" customWidth="1"/>
    <col min="19" max="19" width="10.33203125" style="47" customWidth="1"/>
    <col min="20" max="20" width="8.33203125" style="47" customWidth="1"/>
    <col min="21" max="21" width="11.6640625" style="47" customWidth="1"/>
    <col min="22" max="23" width="8.33203125" style="47" customWidth="1"/>
    <col min="24" max="24" width="11.1640625" style="47" customWidth="1"/>
    <col min="25" max="25" width="9.83203125" style="47" customWidth="1"/>
    <col min="26" max="26" width="8.33203125" style="47" customWidth="1"/>
    <col min="27" max="27" width="10.83203125" style="47" customWidth="1"/>
    <col min="28" max="28" width="10.1640625" style="47" customWidth="1"/>
    <col min="29" max="29" width="8.33203125" style="47" customWidth="1"/>
    <col min="30" max="30" width="10.83203125" style="47" customWidth="1"/>
    <col min="31" max="31" width="10.33203125" style="3" customWidth="1"/>
    <col min="32" max="33" width="12.33203125" style="3" customWidth="1"/>
    <col min="34" max="34" width="10.33203125" style="3" customWidth="1"/>
    <col min="35" max="35" width="12.33203125" style="3" customWidth="1"/>
    <col min="36" max="36" width="13.6640625" style="3" customWidth="1"/>
    <col min="37" max="37" width="6.33203125" style="3" customWidth="1"/>
    <col min="38" max="38" width="31.33203125" style="3" customWidth="1"/>
    <col min="39" max="44" width="11.6640625" style="48" customWidth="1"/>
    <col min="45" max="45" width="12.33203125" style="3" customWidth="1"/>
    <col min="46" max="46" width="12" style="49" customWidth="1"/>
    <col min="47" max="47" width="13.6640625" style="3" customWidth="1"/>
    <col min="48" max="48" width="16" style="3" customWidth="1"/>
    <col min="49" max="49" width="17.83203125" style="3" customWidth="1"/>
    <col min="50" max="50" width="15" style="3" customWidth="1"/>
    <col min="51" max="51" width="52.1640625" style="3" customWidth="1"/>
    <col min="52" max="52" width="13.5" style="3" customWidth="1"/>
    <col min="53" max="16384" width="9" style="3"/>
  </cols>
  <sheetData>
    <row r="1" spans="1:59" s="57" customFormat="1" ht="15">
      <c r="A1" s="50"/>
      <c r="B1" s="51" t="s">
        <v>346</v>
      </c>
      <c r="C1" s="937" t="str">
        <f>Ogolne!D5</f>
        <v>Bydgoszcz</v>
      </c>
      <c r="D1" s="937"/>
      <c r="E1" s="937"/>
      <c r="F1" s="937"/>
      <c r="G1" s="937"/>
      <c r="H1" s="937"/>
      <c r="I1" s="52"/>
      <c r="J1" s="52"/>
      <c r="K1" s="52"/>
      <c r="L1" s="52"/>
      <c r="M1" s="52"/>
      <c r="N1" s="53"/>
      <c r="O1" s="53"/>
      <c r="P1" s="52"/>
      <c r="Q1" s="52"/>
      <c r="R1" s="52"/>
      <c r="S1" s="52"/>
      <c r="T1" s="52"/>
      <c r="U1" s="52"/>
      <c r="V1" s="52"/>
      <c r="W1" s="52"/>
      <c r="X1" s="52"/>
      <c r="Y1" s="52"/>
      <c r="Z1" s="52"/>
      <c r="AA1" s="52"/>
      <c r="AB1" s="52"/>
      <c r="AC1" s="52"/>
      <c r="AD1" s="52"/>
      <c r="AE1" s="50"/>
      <c r="AF1" s="50"/>
      <c r="AG1" s="50"/>
      <c r="AH1" s="50"/>
      <c r="AI1" s="50"/>
      <c r="AJ1" s="50"/>
      <c r="AK1" s="50"/>
      <c r="AL1" s="50"/>
      <c r="AM1" s="55"/>
      <c r="AN1" s="55"/>
      <c r="AO1" s="55"/>
      <c r="AP1" s="55"/>
      <c r="AQ1" s="55"/>
      <c r="AR1" s="55"/>
      <c r="AS1" s="50"/>
      <c r="AT1" s="56"/>
      <c r="AU1" s="50"/>
      <c r="AV1" s="50"/>
      <c r="AW1" s="50"/>
      <c r="AX1" s="50"/>
      <c r="AY1" s="50"/>
      <c r="AZ1" s="50"/>
      <c r="BA1" s="50"/>
    </row>
    <row r="2" spans="1:59">
      <c r="A2" s="5"/>
      <c r="B2" s="5"/>
      <c r="C2" s="5"/>
      <c r="D2" s="53"/>
      <c r="E2" s="53"/>
      <c r="F2" s="782"/>
      <c r="G2" s="53"/>
      <c r="H2" s="53"/>
      <c r="I2" s="53"/>
      <c r="J2" s="53"/>
      <c r="K2" s="53"/>
      <c r="L2" s="53"/>
      <c r="M2" s="53"/>
      <c r="N2" s="53"/>
      <c r="O2" s="53"/>
      <c r="P2" s="53"/>
      <c r="Q2" s="58"/>
      <c r="S2" s="53"/>
      <c r="T2" s="53"/>
      <c r="U2" s="53"/>
      <c r="V2" s="53"/>
      <c r="W2" s="53"/>
      <c r="X2" s="53"/>
      <c r="Y2" s="53"/>
      <c r="Z2" s="53"/>
      <c r="AA2" s="53"/>
      <c r="AB2" s="53"/>
      <c r="AC2" s="53"/>
      <c r="AD2" s="53"/>
      <c r="AE2" s="5"/>
      <c r="AF2" s="5"/>
      <c r="AG2" s="5"/>
      <c r="AH2" s="5"/>
      <c r="AI2" s="5"/>
      <c r="AJ2" s="5"/>
      <c r="AK2" s="5"/>
      <c r="AL2" s="5"/>
      <c r="AM2" s="59"/>
      <c r="AN2" s="59"/>
      <c r="AO2" s="59"/>
      <c r="AP2" s="59"/>
      <c r="AQ2" s="59"/>
      <c r="AR2" s="59"/>
      <c r="AS2" s="5"/>
      <c r="AT2" s="60"/>
      <c r="AU2" s="5"/>
      <c r="AV2" s="5"/>
      <c r="AW2" s="5"/>
      <c r="AX2" s="5"/>
      <c r="AY2" s="5"/>
      <c r="AZ2" s="5"/>
      <c r="BA2" s="5"/>
    </row>
    <row r="3" spans="1:59" ht="26.25">
      <c r="A3" s="5"/>
      <c r="B3" s="934" t="s">
        <v>347</v>
      </c>
      <c r="C3" s="934"/>
      <c r="D3" s="934"/>
      <c r="E3" s="934"/>
      <c r="F3" s="934"/>
      <c r="G3" s="934"/>
      <c r="H3" s="934"/>
      <c r="I3" s="934"/>
      <c r="J3" s="934"/>
      <c r="K3" s="934"/>
      <c r="L3" s="934"/>
      <c r="M3" s="53"/>
      <c r="N3" s="53"/>
      <c r="O3" s="53"/>
      <c r="P3" s="53"/>
      <c r="Q3" s="53"/>
      <c r="R3" s="53"/>
      <c r="T3" s="53"/>
      <c r="V3" s="53"/>
      <c r="W3" s="53"/>
      <c r="X3" s="53"/>
      <c r="Y3" s="53"/>
      <c r="Z3" s="53"/>
      <c r="AA3" s="53"/>
      <c r="AB3" s="53"/>
      <c r="AC3" s="53"/>
      <c r="AD3" s="53"/>
      <c r="AE3" s="5"/>
      <c r="AG3" s="7"/>
      <c r="AH3" s="5"/>
      <c r="AI3" s="7"/>
      <c r="AJ3" s="5"/>
      <c r="AK3" s="5"/>
      <c r="AL3" s="5"/>
      <c r="AM3" s="59"/>
      <c r="AN3" s="59"/>
      <c r="AO3" s="59"/>
      <c r="AP3" s="59"/>
      <c r="AQ3" s="59"/>
      <c r="AR3" s="59"/>
      <c r="AS3" s="5"/>
      <c r="AT3" s="60"/>
      <c r="AU3" s="5"/>
      <c r="AV3" s="5"/>
      <c r="AW3" s="5"/>
      <c r="AX3" s="5"/>
      <c r="AY3" s="5"/>
      <c r="AZ3" s="5"/>
      <c r="BA3" s="5"/>
    </row>
    <row r="4" spans="1:59" ht="23.25">
      <c r="A4" s="53"/>
      <c r="B4" s="61" t="s">
        <v>395</v>
      </c>
      <c r="C4" s="62">
        <f>corpyear</f>
        <v>2005</v>
      </c>
      <c r="D4" s="53"/>
      <c r="E4" s="53"/>
      <c r="F4" s="782"/>
      <c r="G4" s="53"/>
      <c r="H4" s="53"/>
      <c r="I4" s="53"/>
      <c r="J4" s="53"/>
      <c r="K4" s="53"/>
      <c r="L4" s="53"/>
      <c r="M4" s="53"/>
      <c r="N4" s="53"/>
      <c r="O4" s="53"/>
      <c r="P4" s="53"/>
      <c r="Q4" s="53"/>
      <c r="R4" s="53"/>
      <c r="S4" s="53"/>
      <c r="T4" s="53"/>
      <c r="U4" s="53"/>
      <c r="V4" s="53"/>
      <c r="W4" s="53"/>
      <c r="X4" s="53"/>
      <c r="Y4" s="53"/>
      <c r="Z4" s="53"/>
      <c r="AA4" s="53"/>
      <c r="AB4" s="53"/>
      <c r="AC4" s="53"/>
      <c r="AD4" s="53"/>
      <c r="AE4" s="5"/>
      <c r="AF4" s="53"/>
      <c r="AG4" s="7"/>
      <c r="AH4" s="5"/>
      <c r="AI4" s="7"/>
      <c r="AJ4" s="5"/>
      <c r="AK4" s="5"/>
      <c r="AL4" s="5"/>
      <c r="AM4" s="59"/>
      <c r="AN4" s="59"/>
      <c r="AO4" s="59"/>
      <c r="AP4" s="59"/>
      <c r="AQ4" s="59"/>
      <c r="AR4" s="59"/>
      <c r="AS4" s="5"/>
      <c r="AT4" s="60"/>
      <c r="AU4" s="5"/>
      <c r="AV4" s="5"/>
      <c r="AW4" s="5"/>
      <c r="AX4" s="5"/>
      <c r="AY4" s="5"/>
      <c r="AZ4" s="5"/>
      <c r="BA4" s="5"/>
    </row>
    <row r="5" spans="1:59">
      <c r="A5" s="5"/>
      <c r="B5" s="63"/>
      <c r="C5" s="53"/>
      <c r="D5" s="64"/>
      <c r="E5" s="64"/>
      <c r="F5" s="783"/>
      <c r="G5" s="53"/>
      <c r="H5" s="53"/>
      <c r="I5" s="65"/>
      <c r="J5" s="65"/>
      <c r="K5" s="53"/>
      <c r="L5" s="53"/>
      <c r="M5" s="53"/>
      <c r="N5" s="53"/>
      <c r="O5" s="53"/>
      <c r="P5" s="53"/>
      <c r="Q5" s="53"/>
      <c r="R5" s="53"/>
      <c r="S5" s="53"/>
      <c r="T5" s="53"/>
      <c r="U5" s="53"/>
      <c r="V5" s="53"/>
      <c r="W5" s="53"/>
      <c r="X5" s="53"/>
      <c r="Y5" s="53"/>
      <c r="Z5" s="53"/>
      <c r="AA5" s="53"/>
      <c r="AB5" s="53"/>
      <c r="AC5" s="53"/>
      <c r="AD5" s="53"/>
      <c r="AE5" s="5"/>
      <c r="AF5" s="5"/>
      <c r="AG5" s="5"/>
      <c r="AH5" s="5"/>
      <c r="AI5" s="5"/>
      <c r="AJ5" s="5"/>
      <c r="AK5" s="5"/>
      <c r="AL5" s="5"/>
      <c r="AM5" s="59"/>
      <c r="AN5" s="59"/>
      <c r="AO5" s="59"/>
      <c r="AP5" s="59"/>
      <c r="AQ5" s="59"/>
      <c r="AR5" s="59"/>
      <c r="AS5" s="5"/>
      <c r="AT5" s="60"/>
      <c r="AU5" s="5"/>
      <c r="AV5" s="5"/>
      <c r="AW5" s="5"/>
      <c r="AX5" s="5"/>
      <c r="AY5" s="5"/>
      <c r="AZ5" s="5"/>
      <c r="BA5" s="5"/>
    </row>
    <row r="6" spans="1:59" ht="12.75" customHeight="1">
      <c r="A6" s="5"/>
      <c r="B6" s="66" t="s">
        <v>396</v>
      </c>
      <c r="C6" s="66"/>
      <c r="D6" s="938" t="s">
        <v>397</v>
      </c>
      <c r="E6" s="938"/>
      <c r="F6" s="938"/>
      <c r="G6" s="938"/>
      <c r="H6" s="938"/>
      <c r="I6" s="938"/>
      <c r="J6" s="938"/>
      <c r="K6" s="938"/>
      <c r="L6" s="938"/>
      <c r="M6" s="938"/>
      <c r="N6" s="938"/>
      <c r="O6" s="938"/>
      <c r="P6" s="938"/>
      <c r="Q6" s="938"/>
      <c r="R6" s="53"/>
      <c r="S6" s="53"/>
      <c r="T6" s="53"/>
      <c r="U6" s="53"/>
      <c r="V6" s="53"/>
      <c r="W6" s="53"/>
      <c r="X6" s="53"/>
      <c r="Y6" s="53"/>
      <c r="Z6" s="53"/>
      <c r="AA6" s="53"/>
      <c r="AB6" s="53"/>
      <c r="AC6" s="53"/>
      <c r="AD6" s="53"/>
      <c r="AE6" s="53"/>
      <c r="AF6" s="5"/>
      <c r="AG6" s="5"/>
      <c r="AH6" s="5"/>
      <c r="AI6" s="5"/>
      <c r="AJ6" s="5"/>
      <c r="AK6" s="5"/>
      <c r="AL6" s="5"/>
      <c r="AM6" s="59"/>
      <c r="AN6" s="59"/>
      <c r="AO6" s="59"/>
      <c r="AP6" s="59"/>
      <c r="AQ6" s="59"/>
      <c r="AR6" s="59"/>
      <c r="AS6" s="5"/>
      <c r="AT6" s="60"/>
      <c r="AU6" s="5"/>
      <c r="AV6" s="5"/>
      <c r="AW6" s="5"/>
      <c r="AX6" s="5"/>
      <c r="AY6" s="5"/>
      <c r="AZ6" s="5"/>
      <c r="BA6" s="5"/>
    </row>
    <row r="7" spans="1:59" ht="12.75" customHeight="1" thickBot="1">
      <c r="A7" s="5"/>
      <c r="B7" s="67"/>
      <c r="C7" s="67"/>
      <c r="D7" s="64"/>
      <c r="E7" s="64"/>
      <c r="F7" s="53"/>
      <c r="G7" s="53"/>
      <c r="H7" s="53"/>
      <c r="I7" s="53"/>
      <c r="J7" s="53"/>
      <c r="K7" s="53"/>
      <c r="L7" s="53"/>
      <c r="M7" s="53"/>
      <c r="N7" s="53"/>
      <c r="O7" s="53"/>
      <c r="P7" s="68"/>
      <c r="Q7" s="69"/>
      <c r="R7" s="68"/>
      <c r="S7" s="53"/>
      <c r="T7" s="53"/>
      <c r="U7" s="53"/>
      <c r="V7" s="53"/>
      <c r="W7" s="53"/>
      <c r="X7" s="70"/>
      <c r="Y7" s="53"/>
      <c r="Z7" s="53"/>
      <c r="AA7" s="53"/>
      <c r="AB7" s="53"/>
      <c r="AC7" s="53"/>
      <c r="AD7" s="53"/>
      <c r="AE7" s="5"/>
      <c r="AF7" s="5"/>
      <c r="AG7" s="5"/>
      <c r="AH7" s="5"/>
      <c r="AI7" s="5"/>
      <c r="AJ7" s="5"/>
      <c r="AK7" s="5"/>
      <c r="AL7" s="5"/>
      <c r="AM7" s="59"/>
      <c r="AN7" s="59"/>
      <c r="AO7" s="59"/>
      <c r="AP7" s="59"/>
      <c r="AQ7" s="59"/>
      <c r="AR7" s="59"/>
      <c r="AS7" s="5"/>
      <c r="AT7" s="60"/>
      <c r="AU7" s="5"/>
      <c r="AV7" s="5"/>
      <c r="AW7" s="5"/>
      <c r="AX7" s="5"/>
      <c r="AY7" s="5"/>
      <c r="AZ7" s="5"/>
      <c r="BA7" s="5"/>
    </row>
    <row r="8" spans="1:59" s="78" customFormat="1">
      <c r="A8" s="71"/>
      <c r="B8" s="72" t="s">
        <v>348</v>
      </c>
      <c r="C8" s="73"/>
      <c r="D8" s="943" t="str">
        <f>'Sam-Budynki-WSAD'!D8:G8</f>
        <v>Energia elektryczna</v>
      </c>
      <c r="E8" s="944"/>
      <c r="F8" s="945"/>
      <c r="G8" s="943" t="s">
        <v>350</v>
      </c>
      <c r="H8" s="944"/>
      <c r="I8" s="945"/>
      <c r="J8" s="943" t="s">
        <v>398</v>
      </c>
      <c r="K8" s="944"/>
      <c r="L8" s="945"/>
      <c r="M8" s="936" t="s">
        <v>353</v>
      </c>
      <c r="N8" s="936"/>
      <c r="O8" s="936"/>
      <c r="P8" s="936" t="s">
        <v>352</v>
      </c>
      <c r="Q8" s="936"/>
      <c r="R8" s="936"/>
      <c r="S8" s="940" t="s">
        <v>354</v>
      </c>
      <c r="T8" s="940"/>
      <c r="U8" s="940"/>
      <c r="V8" s="940" t="s">
        <v>355</v>
      </c>
      <c r="W8" s="940"/>
      <c r="X8" s="940"/>
      <c r="Y8" s="936" t="s">
        <v>356</v>
      </c>
      <c r="Z8" s="936"/>
      <c r="AA8" s="936"/>
      <c r="AB8" s="936" t="s">
        <v>357</v>
      </c>
      <c r="AC8" s="936"/>
      <c r="AD8" s="936"/>
      <c r="AE8" s="936" t="s">
        <v>358</v>
      </c>
      <c r="AF8" s="936"/>
      <c r="AG8" s="936"/>
      <c r="AH8" s="943" t="s">
        <v>359</v>
      </c>
      <c r="AI8" s="944"/>
      <c r="AJ8" s="946"/>
      <c r="AK8" s="5"/>
      <c r="AL8" s="74"/>
      <c r="AM8" s="74"/>
      <c r="AN8" s="74"/>
      <c r="AO8" s="74" t="s">
        <v>372</v>
      </c>
      <c r="AP8" s="74"/>
      <c r="AQ8" s="940" t="s">
        <v>403</v>
      </c>
      <c r="AR8" s="940"/>
      <c r="AS8" s="75" t="s">
        <v>373</v>
      </c>
      <c r="AT8" s="75" t="s">
        <v>374</v>
      </c>
      <c r="AU8" s="75" t="s">
        <v>375</v>
      </c>
      <c r="AV8" s="75" t="s">
        <v>376</v>
      </c>
      <c r="AW8" s="75" t="s">
        <v>377</v>
      </c>
      <c r="AX8" s="76" t="s">
        <v>378</v>
      </c>
      <c r="AY8" s="77"/>
      <c r="AZ8" s="71"/>
      <c r="BA8" s="71"/>
      <c r="BB8" s="71"/>
      <c r="BC8" s="71"/>
      <c r="BD8" s="71"/>
      <c r="BE8" s="71"/>
      <c r="BF8" s="71"/>
      <c r="BG8" s="71"/>
    </row>
    <row r="9" spans="1:59" s="89" customFormat="1" ht="60">
      <c r="A9" s="79"/>
      <c r="B9" s="814" t="s">
        <v>369</v>
      </c>
      <c r="C9" s="817" t="s">
        <v>365</v>
      </c>
      <c r="D9" s="80" t="s">
        <v>361</v>
      </c>
      <c r="E9" s="80" t="s">
        <v>360</v>
      </c>
      <c r="F9" s="80" t="s">
        <v>366</v>
      </c>
      <c r="G9" s="80" t="s">
        <v>362</v>
      </c>
      <c r="H9" s="80" t="s">
        <v>360</v>
      </c>
      <c r="I9" s="80" t="s">
        <v>366</v>
      </c>
      <c r="J9" s="80" t="s">
        <v>362</v>
      </c>
      <c r="K9" s="80" t="s">
        <v>360</v>
      </c>
      <c r="L9" s="80" t="s">
        <v>366</v>
      </c>
      <c r="M9" s="80" t="s">
        <v>363</v>
      </c>
      <c r="N9" s="80" t="s">
        <v>360</v>
      </c>
      <c r="O9" s="80" t="s">
        <v>366</v>
      </c>
      <c r="P9" s="80" t="s">
        <v>363</v>
      </c>
      <c r="Q9" s="80" t="s">
        <v>360</v>
      </c>
      <c r="R9" s="80" t="s">
        <v>366</v>
      </c>
      <c r="S9" s="80" t="s">
        <v>368</v>
      </c>
      <c r="T9" s="80" t="s">
        <v>360</v>
      </c>
      <c r="U9" s="80" t="s">
        <v>366</v>
      </c>
      <c r="V9" s="80" t="s">
        <v>368</v>
      </c>
      <c r="W9" s="80" t="s">
        <v>360</v>
      </c>
      <c r="X9" s="80" t="s">
        <v>366</v>
      </c>
      <c r="Y9" s="80" t="s">
        <v>363</v>
      </c>
      <c r="Z9" s="80" t="s">
        <v>360</v>
      </c>
      <c r="AA9" s="80" t="s">
        <v>366</v>
      </c>
      <c r="AB9" s="80" t="s">
        <v>363</v>
      </c>
      <c r="AC9" s="80" t="s">
        <v>360</v>
      </c>
      <c r="AD9" s="80" t="s">
        <v>366</v>
      </c>
      <c r="AE9" s="80" t="s">
        <v>368</v>
      </c>
      <c r="AF9" s="80" t="s">
        <v>360</v>
      </c>
      <c r="AG9" s="80" t="s">
        <v>366</v>
      </c>
      <c r="AH9" s="80" t="s">
        <v>364</v>
      </c>
      <c r="AI9" s="80" t="s">
        <v>360</v>
      </c>
      <c r="AJ9" s="81" t="s">
        <v>366</v>
      </c>
      <c r="AK9" s="82"/>
      <c r="AL9" s="815" t="s">
        <v>369</v>
      </c>
      <c r="AM9" s="818" t="s">
        <v>399</v>
      </c>
      <c r="AN9" s="84" t="s">
        <v>380</v>
      </c>
      <c r="AO9" s="85" t="s">
        <v>381</v>
      </c>
      <c r="AP9" s="85" t="s">
        <v>382</v>
      </c>
      <c r="AQ9" s="85" t="s">
        <v>383</v>
      </c>
      <c r="AR9" s="85" t="s">
        <v>384</v>
      </c>
      <c r="AS9" s="86" t="s">
        <v>385</v>
      </c>
      <c r="AT9" s="86" t="s">
        <v>386</v>
      </c>
      <c r="AU9" s="86" t="s">
        <v>387</v>
      </c>
      <c r="AV9" s="86" t="s">
        <v>388</v>
      </c>
      <c r="AW9" s="86" t="s">
        <v>389</v>
      </c>
      <c r="AX9" s="87" t="s">
        <v>400</v>
      </c>
      <c r="AY9" s="88" t="s">
        <v>379</v>
      </c>
      <c r="AZ9" s="77" t="s">
        <v>404</v>
      </c>
      <c r="BA9" s="77"/>
      <c r="BB9" s="77"/>
      <c r="BC9" s="79"/>
      <c r="BD9" s="79"/>
      <c r="BE9" s="79"/>
      <c r="BF9" s="79"/>
      <c r="BG9" s="79"/>
    </row>
    <row r="10" spans="1:59" s="101" customFormat="1">
      <c r="A10" s="90"/>
      <c r="B10" s="713" t="str">
        <f>'Sam-Budynki-WSAD'!B10</f>
        <v>Administracja Domów Miejskich "ADM" Sp. z o.o.</v>
      </c>
      <c r="C10" s="726" t="str">
        <f>'Sam-Budynki-WSAD'!C10</f>
        <v>ADM</v>
      </c>
      <c r="D10" s="709">
        <f>AZ10*'Sam-Budynki-WSAD'!D10</f>
        <v>186045</v>
      </c>
      <c r="E10" s="94">
        <f>AZ10*'Sam-Budynki-WSAD'!E10</f>
        <v>76495.03</v>
      </c>
      <c r="F10" s="95">
        <f>D10*(HLOOKUP(Ogolne!$D$6,'Wskazniki emisji elektrycznosc'!$B$8:$G$29,Ogolne!$E$7,TRUE))/1000</f>
        <v>182.69619</v>
      </c>
      <c r="G10" s="709">
        <f>$AZ10*'Sam-Budynki-WSAD'!H10</f>
        <v>57434</v>
      </c>
      <c r="H10" s="94">
        <f>$AZ10*'Sam-Budynki-WSAD'!I10</f>
        <v>64900.419999999991</v>
      </c>
      <c r="I10" s="95">
        <f>G10*'Wskazniki emisji paliw'!M$26</f>
        <v>416.52857876448996</v>
      </c>
      <c r="J10" s="709">
        <f>$AZ10*'Sam-Budynki-WSAD'!L10</f>
        <v>0</v>
      </c>
      <c r="K10" s="94">
        <f>$AZ10*'Sam-Budynki-WSAD'!M10</f>
        <v>0</v>
      </c>
      <c r="L10" s="95">
        <f>J10*'Wskazniki emisji paliw'!M$27</f>
        <v>0</v>
      </c>
      <c r="M10" s="709">
        <f>$AZ10*'Sam-Budynki-WSAD'!O10</f>
        <v>0</v>
      </c>
      <c r="N10" s="94">
        <f>$AZ10*'Sam-Budynki-WSAD'!P10</f>
        <v>0</v>
      </c>
      <c r="O10" s="95">
        <f>M10*'Wskazniki emisji paliw'!L$17</f>
        <v>0</v>
      </c>
      <c r="P10" s="709">
        <f>$AZ10*'Sam-Budynki-WSAD'!R10</f>
        <v>0</v>
      </c>
      <c r="Q10" s="94">
        <f>$AZ10*'Sam-Budynki-WSAD'!S10</f>
        <v>0</v>
      </c>
      <c r="R10" s="95">
        <f>P10*'Wskazniki emisji paliw'!L$18</f>
        <v>0</v>
      </c>
      <c r="S10" s="709">
        <f>$AZ10*'Sam-Budynki-WSAD'!U10</f>
        <v>0</v>
      </c>
      <c r="T10" s="94">
        <f>$AZ10*'Sam-Budynki-WSAD'!V10</f>
        <v>0</v>
      </c>
      <c r="U10" s="95">
        <f>S10*'Wskazniki emisji paliw'!N$10</f>
        <v>0</v>
      </c>
      <c r="V10" s="709">
        <f>$AZ10*'Sam-Budynki-WSAD'!X10</f>
        <v>0</v>
      </c>
      <c r="W10" s="94">
        <f>$AZ10*'Sam-Budynki-WSAD'!Y10</f>
        <v>0</v>
      </c>
      <c r="X10" s="95">
        <f>V10*'Wskazniki emisji paliw'!N$11</f>
        <v>0</v>
      </c>
      <c r="Y10" s="709">
        <f>$AZ10*'Sam-Budynki-WSAD'!AA10</f>
        <v>0</v>
      </c>
      <c r="Z10" s="94">
        <f>$AZ10*'Sam-Budynki-WSAD'!AB10</f>
        <v>0</v>
      </c>
      <c r="AA10" s="95">
        <f>Y10*'Wskazniki emisji paliw'!L$21</f>
        <v>0</v>
      </c>
      <c r="AB10" s="709">
        <f>$AZ10*'Sam-Budynki-WSAD'!AD10</f>
        <v>0</v>
      </c>
      <c r="AC10" s="94">
        <f>$AZ10*'Sam-Budynki-WSAD'!AE10</f>
        <v>0</v>
      </c>
      <c r="AD10" s="95">
        <f>AB10*'Wskazniki emisji paliw'!L$20</f>
        <v>0</v>
      </c>
      <c r="AE10" s="709">
        <f>$AZ10*'Sam-Budynki-WSAD'!AG10</f>
        <v>0</v>
      </c>
      <c r="AF10" s="94">
        <f>$AZ10*'Sam-Budynki-WSAD'!AH10</f>
        <v>0</v>
      </c>
      <c r="AG10" s="95">
        <f>AE10*'Wskazniki emisji paliw'!N$13</f>
        <v>0</v>
      </c>
      <c r="AH10" s="709">
        <f>$AZ10*'Sam-Budynki-WSAD'!AJ10</f>
        <v>353.76944444444445</v>
      </c>
      <c r="AI10" s="94">
        <f>$AZ10*'Sam-Budynki-WSAD'!AK10</f>
        <v>77726.2</v>
      </c>
      <c r="AJ10" s="96">
        <f>AH10*'Wskazniki emisji paliw'!K$35</f>
        <v>114.62130000000001</v>
      </c>
      <c r="AK10" s="5"/>
      <c r="AL10" s="91" t="str">
        <f t="shared" ref="AL10:AL40" si="0">B10</f>
        <v>Administracja Domów Miejskich "ADM" Sp. z o.o.</v>
      </c>
      <c r="AM10" s="91" t="str">
        <f t="shared" ref="AM10:AM39" si="1">C10</f>
        <v>ADM</v>
      </c>
      <c r="AN10" s="97">
        <f>'Sam-Budynki-WSAD'!AQ10</f>
        <v>2510</v>
      </c>
      <c r="AO10" s="97">
        <f>'Sam-Budynki-WSAD'!AR10</f>
        <v>300</v>
      </c>
      <c r="AP10" s="97">
        <f>'Sam-Budynki-WSAD'!AS10</f>
        <v>0</v>
      </c>
      <c r="AQ10" s="94">
        <f t="shared" ref="AQ10:AQ40" si="2">E10+H10+K10+N10+Q10+T10+W10+Z10+AC10+AF10+AI10</f>
        <v>219121.64999999997</v>
      </c>
      <c r="AR10" s="95">
        <f t="shared" ref="AR10:AR40" si="3">F10+I10+L10+O10+R10+U10+X10+AA10+AD10+AG10+AJ10</f>
        <v>713.84606876448993</v>
      </c>
      <c r="AS10" s="98">
        <f t="shared" ref="AS10:AS41" si="4">IFERROR(AQ10/AN10,"")</f>
        <v>87.299462151394408</v>
      </c>
      <c r="AT10" s="98">
        <f t="shared" ref="AT10:AT41" si="5">IFERROR(AQ10/AO10,"")</f>
        <v>730.40549999999985</v>
      </c>
      <c r="AU10" s="98" t="str">
        <f t="shared" ref="AU10:AU41" si="6">IFERROR(AQ10/AP10,"")</f>
        <v/>
      </c>
      <c r="AV10" s="98">
        <f t="shared" ref="AV10:AV41" si="7">IFERROR(AR10/AN10,"")</f>
        <v>0.28440082420896012</v>
      </c>
      <c r="AW10" s="98">
        <f t="shared" ref="AW10:AW41" si="8">IFERROR(AR10/AO10,"")</f>
        <v>2.3794868958816333</v>
      </c>
      <c r="AX10" s="99" t="str">
        <f t="shared" ref="AX10:AX41" si="9">IFERROR(AR10/AP10,"")</f>
        <v/>
      </c>
      <c r="AY10" s="100">
        <f>'Sam-Budynki-WSAD'!BB10</f>
        <v>0</v>
      </c>
      <c r="AZ10" s="90">
        <v>1</v>
      </c>
      <c r="BA10" s="90"/>
      <c r="BB10" s="90"/>
      <c r="BC10" s="90"/>
      <c r="BD10" s="90"/>
      <c r="BE10" s="90"/>
      <c r="BF10" s="90"/>
      <c r="BG10" s="90"/>
    </row>
    <row r="11" spans="1:59" s="101" customFormat="1">
      <c r="A11" s="90"/>
      <c r="B11" s="732" t="str">
        <f>'Sam-Budynki-WSAD'!B11</f>
        <v>Bydgoski Fundusz Poręczeń Kredytowych Sp. z o.o.</v>
      </c>
      <c r="C11" s="733" t="str">
        <f>'Sam-Budynki-WSAD'!C11</f>
        <v>BFPK</v>
      </c>
      <c r="D11" s="709">
        <f>AZ11*'Sam-Budynki-WSAD'!D11</f>
        <v>0</v>
      </c>
      <c r="E11" s="94">
        <f>AZ11*'Sam-Budynki-WSAD'!E11</f>
        <v>0</v>
      </c>
      <c r="F11" s="95">
        <f>D11*(HLOOKUP(Ogolne!$D$6,'Wskazniki emisji elektrycznosc'!$B$8:$G$29,Ogolne!$E$7,TRUE))/1000</f>
        <v>0</v>
      </c>
      <c r="G11" s="709">
        <f>$AZ11*'Sam-Budynki-WSAD'!H11</f>
        <v>0</v>
      </c>
      <c r="H11" s="94">
        <f>$AZ11*'Sam-Budynki-WSAD'!I11</f>
        <v>0</v>
      </c>
      <c r="I11" s="95">
        <f>G11*'Wskazniki emisji paliw'!M$26</f>
        <v>0</v>
      </c>
      <c r="J11" s="709">
        <f>$AZ11*'Sam-Budynki-WSAD'!L11</f>
        <v>0</v>
      </c>
      <c r="K11" s="94">
        <f>$AZ11*'Sam-Budynki-WSAD'!M11</f>
        <v>0</v>
      </c>
      <c r="L11" s="95">
        <f>J11*'Wskazniki emisji paliw'!M$27</f>
        <v>0</v>
      </c>
      <c r="M11" s="709">
        <f>$AZ11*'Sam-Budynki-WSAD'!O11</f>
        <v>0</v>
      </c>
      <c r="N11" s="94">
        <f>$AZ11*'Sam-Budynki-WSAD'!P11</f>
        <v>0</v>
      </c>
      <c r="O11" s="95">
        <f>M11*'Wskazniki emisji paliw'!L$17</f>
        <v>0</v>
      </c>
      <c r="P11" s="709">
        <f>$AZ11*'Sam-Budynki-WSAD'!R11</f>
        <v>0</v>
      </c>
      <c r="Q11" s="94">
        <f>$AZ11*'Sam-Budynki-WSAD'!S11</f>
        <v>0</v>
      </c>
      <c r="R11" s="95">
        <f>P11*'Wskazniki emisji paliw'!L$18</f>
        <v>0</v>
      </c>
      <c r="S11" s="709">
        <f>$AZ11*'Sam-Budynki-WSAD'!U11</f>
        <v>0</v>
      </c>
      <c r="T11" s="94">
        <f>$AZ11*'Sam-Budynki-WSAD'!V11</f>
        <v>0</v>
      </c>
      <c r="U11" s="95">
        <f>S11*'Wskazniki emisji paliw'!N$10</f>
        <v>0</v>
      </c>
      <c r="V11" s="709">
        <f>$AZ11*'Sam-Budynki-WSAD'!X11</f>
        <v>0</v>
      </c>
      <c r="W11" s="94">
        <f>$AZ11*'Sam-Budynki-WSAD'!Y11</f>
        <v>0</v>
      </c>
      <c r="X11" s="95">
        <f>V11*'Wskazniki emisji paliw'!N$11</f>
        <v>0</v>
      </c>
      <c r="Y11" s="709">
        <f>$AZ11*'Sam-Budynki-WSAD'!AA11</f>
        <v>0</v>
      </c>
      <c r="Z11" s="94">
        <f>$AZ11*'Sam-Budynki-WSAD'!AB11</f>
        <v>0</v>
      </c>
      <c r="AA11" s="95">
        <f>Y11*'Wskazniki emisji paliw'!L$21</f>
        <v>0</v>
      </c>
      <c r="AB11" s="709">
        <f>$AZ11*'Sam-Budynki-WSAD'!AD11</f>
        <v>0</v>
      </c>
      <c r="AC11" s="94">
        <f>$AZ11*'Sam-Budynki-WSAD'!AE11</f>
        <v>0</v>
      </c>
      <c r="AD11" s="95">
        <f>AB11*'Wskazniki emisji paliw'!L$20</f>
        <v>0</v>
      </c>
      <c r="AE11" s="709">
        <f>$AZ11*'Sam-Budynki-WSAD'!AG11</f>
        <v>0</v>
      </c>
      <c r="AF11" s="94">
        <f>$AZ11*'Sam-Budynki-WSAD'!AH11</f>
        <v>0</v>
      </c>
      <c r="AG11" s="95">
        <f>AE11*'Wskazniki emisji paliw'!N$13</f>
        <v>0</v>
      </c>
      <c r="AH11" s="709">
        <f>$AZ11*'Sam-Budynki-WSAD'!AJ11</f>
        <v>0</v>
      </c>
      <c r="AI11" s="94">
        <f>$AZ11*'Sam-Budynki-WSAD'!AK11</f>
        <v>0</v>
      </c>
      <c r="AJ11" s="96">
        <f>AH11*'Wskazniki emisji paliw'!K$35</f>
        <v>0</v>
      </c>
      <c r="AK11" s="5"/>
      <c r="AL11" s="734" t="str">
        <f t="shared" si="0"/>
        <v>Bydgoski Fundusz Poręczeń Kredytowych Sp. z o.o.</v>
      </c>
      <c r="AM11" s="734" t="str">
        <f t="shared" si="1"/>
        <v>BFPK</v>
      </c>
      <c r="AN11" s="97">
        <f>'Sam-Budynki-WSAD'!AQ11</f>
        <v>0</v>
      </c>
      <c r="AO11" s="97">
        <f>'Sam-Budynki-WSAD'!AR11</f>
        <v>0</v>
      </c>
      <c r="AP11" s="97">
        <f>'Sam-Budynki-WSAD'!AS11</f>
        <v>0</v>
      </c>
      <c r="AQ11" s="94">
        <f t="shared" si="2"/>
        <v>0</v>
      </c>
      <c r="AR11" s="95">
        <f t="shared" si="3"/>
        <v>0</v>
      </c>
      <c r="AS11" s="98" t="str">
        <f t="shared" si="4"/>
        <v/>
      </c>
      <c r="AT11" s="98" t="str">
        <f t="shared" si="5"/>
        <v/>
      </c>
      <c r="AU11" s="98" t="str">
        <f t="shared" si="6"/>
        <v/>
      </c>
      <c r="AV11" s="98" t="str">
        <f t="shared" si="7"/>
        <v/>
      </c>
      <c r="AW11" s="98" t="str">
        <f t="shared" si="8"/>
        <v/>
      </c>
      <c r="AX11" s="99" t="str">
        <f t="shared" si="9"/>
        <v/>
      </c>
      <c r="AY11" s="100" t="str">
        <f>'Sam-Budynki-WSAD'!BB11</f>
        <v>brak danych za 2005 r</v>
      </c>
      <c r="AZ11" s="90">
        <v>0.50019999999999998</v>
      </c>
      <c r="BA11" s="90"/>
      <c r="BB11" s="90"/>
      <c r="BC11" s="90"/>
      <c r="BD11" s="90"/>
      <c r="BE11" s="90"/>
      <c r="BF11" s="90"/>
      <c r="BG11" s="90"/>
    </row>
    <row r="12" spans="1:59" s="101" customFormat="1">
      <c r="A12" s="90"/>
      <c r="B12" s="713" t="str">
        <f>'Sam-Budynki-WSAD'!B12</f>
        <v>Bydgoski Ośrodek Rehabilitacji ,Terapii Uzależnień i Profilaktyki "BORPA"</v>
      </c>
      <c r="C12" s="726" t="str">
        <f>'Sam-Budynki-WSAD'!C12</f>
        <v>BORPA</v>
      </c>
      <c r="D12" s="709">
        <f>AZ12*'Sam-Budynki-WSAD'!D12</f>
        <v>14719</v>
      </c>
      <c r="E12" s="94">
        <f>AZ12*'Sam-Budynki-WSAD'!E12</f>
        <v>5887.6</v>
      </c>
      <c r="F12" s="95">
        <f>D12*(HLOOKUP(Ogolne!$D$6,'Wskazniki emisji elektrycznosc'!$B$8:$G$29,Ogolne!$E$7,TRUE))/1000</f>
        <v>14.454058</v>
      </c>
      <c r="G12" s="709">
        <f>$AZ12*'Sam-Budynki-WSAD'!H12</f>
        <v>0</v>
      </c>
      <c r="H12" s="94">
        <f>$AZ12*'Sam-Budynki-WSAD'!I12</f>
        <v>0</v>
      </c>
      <c r="I12" s="95">
        <f>G12*'Wskazniki emisji paliw'!M$26</f>
        <v>0</v>
      </c>
      <c r="J12" s="709">
        <f>$AZ12*'Sam-Budynki-WSAD'!L12</f>
        <v>0</v>
      </c>
      <c r="K12" s="94">
        <f>$AZ12*'Sam-Budynki-WSAD'!M12</f>
        <v>0</v>
      </c>
      <c r="L12" s="95">
        <f>J12*'Wskazniki emisji paliw'!M$27</f>
        <v>0</v>
      </c>
      <c r="M12" s="709">
        <f>$AZ12*'Sam-Budynki-WSAD'!O12</f>
        <v>0</v>
      </c>
      <c r="N12" s="94">
        <f>$AZ12*'Sam-Budynki-WSAD'!P12</f>
        <v>0</v>
      </c>
      <c r="O12" s="95">
        <f>M12*'Wskazniki emisji paliw'!L$17</f>
        <v>0</v>
      </c>
      <c r="P12" s="709">
        <f>$AZ12*'Sam-Budynki-WSAD'!R12</f>
        <v>0</v>
      </c>
      <c r="Q12" s="94">
        <f>$AZ12*'Sam-Budynki-WSAD'!S12</f>
        <v>0</v>
      </c>
      <c r="R12" s="95">
        <f>P12*'Wskazniki emisji paliw'!L$18</f>
        <v>0</v>
      </c>
      <c r="S12" s="709">
        <f>$AZ12*'Sam-Budynki-WSAD'!U12</f>
        <v>0</v>
      </c>
      <c r="T12" s="94">
        <f>$AZ12*'Sam-Budynki-WSAD'!V12</f>
        <v>0</v>
      </c>
      <c r="U12" s="95">
        <f>S12*'Wskazniki emisji paliw'!N$10</f>
        <v>0</v>
      </c>
      <c r="V12" s="709">
        <f>$AZ12*'Sam-Budynki-WSAD'!X12</f>
        <v>0</v>
      </c>
      <c r="W12" s="94">
        <f>$AZ12*'Sam-Budynki-WSAD'!Y12</f>
        <v>0</v>
      </c>
      <c r="X12" s="95">
        <f>V12*'Wskazniki emisji paliw'!N$11</f>
        <v>0</v>
      </c>
      <c r="Y12" s="709">
        <f>$AZ12*'Sam-Budynki-WSAD'!AA12</f>
        <v>0</v>
      </c>
      <c r="Z12" s="94">
        <f>$AZ12*'Sam-Budynki-WSAD'!AB12</f>
        <v>0</v>
      </c>
      <c r="AA12" s="95">
        <f>Y12*'Wskazniki emisji paliw'!L$21</f>
        <v>0</v>
      </c>
      <c r="AB12" s="709">
        <f>$AZ12*'Sam-Budynki-WSAD'!AD12</f>
        <v>0</v>
      </c>
      <c r="AC12" s="94">
        <f>$AZ12*'Sam-Budynki-WSAD'!AE12</f>
        <v>0</v>
      </c>
      <c r="AD12" s="95">
        <f>AB12*'Wskazniki emisji paliw'!L$20</f>
        <v>0</v>
      </c>
      <c r="AE12" s="709">
        <f>$AZ12*'Sam-Budynki-WSAD'!AG12</f>
        <v>0</v>
      </c>
      <c r="AF12" s="94">
        <f>$AZ12*'Sam-Budynki-WSAD'!AH12</f>
        <v>0</v>
      </c>
      <c r="AG12" s="95">
        <f>AE12*'Wskazniki emisji paliw'!N$13</f>
        <v>0</v>
      </c>
      <c r="AH12" s="709">
        <f>$AZ12*'Sam-Budynki-WSAD'!AJ12</f>
        <v>852.94</v>
      </c>
      <c r="AI12" s="94">
        <f>$AZ12*'Sam-Budynki-WSAD'!AK12</f>
        <v>44133.08</v>
      </c>
      <c r="AJ12" s="96">
        <f>AH12*'Wskazniki emisji paliw'!K$35</f>
        <v>276.35256000000004</v>
      </c>
      <c r="AK12" s="5"/>
      <c r="AL12" s="91" t="str">
        <f t="shared" si="0"/>
        <v>Bydgoski Ośrodek Rehabilitacji ,Terapii Uzależnień i Profilaktyki "BORPA"</v>
      </c>
      <c r="AM12" s="91" t="str">
        <f t="shared" si="1"/>
        <v>BORPA</v>
      </c>
      <c r="AN12" s="97">
        <f>'Sam-Budynki-WSAD'!AQ12</f>
        <v>2500</v>
      </c>
      <c r="AO12" s="97">
        <f>'Sam-Budynki-WSAD'!AR12</f>
        <v>300</v>
      </c>
      <c r="AP12" s="97">
        <f>'Sam-Budynki-WSAD'!AS12</f>
        <v>4021</v>
      </c>
      <c r="AQ12" s="94">
        <f t="shared" si="2"/>
        <v>50020.68</v>
      </c>
      <c r="AR12" s="95">
        <f t="shared" si="3"/>
        <v>290.80661800000001</v>
      </c>
      <c r="AS12" s="98">
        <f t="shared" si="4"/>
        <v>20.008272000000002</v>
      </c>
      <c r="AT12" s="98">
        <f t="shared" si="5"/>
        <v>166.73560000000001</v>
      </c>
      <c r="AU12" s="98">
        <f t="shared" si="6"/>
        <v>12.439860731161403</v>
      </c>
      <c r="AV12" s="98">
        <f t="shared" si="7"/>
        <v>0.1163226472</v>
      </c>
      <c r="AW12" s="98">
        <f t="shared" si="8"/>
        <v>0.96935539333333343</v>
      </c>
      <c r="AX12" s="99">
        <f t="shared" si="9"/>
        <v>7.2321964188012941E-2</v>
      </c>
      <c r="AY12" s="100">
        <f>'Sam-Budynki-WSAD'!BB12</f>
        <v>0</v>
      </c>
      <c r="AZ12" s="90">
        <v>1</v>
      </c>
      <c r="BA12" s="90"/>
      <c r="BB12" s="90"/>
      <c r="BC12" s="90"/>
      <c r="BD12" s="90"/>
      <c r="BE12" s="90"/>
      <c r="BF12" s="90"/>
      <c r="BG12" s="90"/>
    </row>
    <row r="13" spans="1:59" s="101" customFormat="1">
      <c r="A13" s="90"/>
      <c r="B13" s="732" t="str">
        <f>'Sam-Budynki-WSAD'!B13</f>
        <v>Bydgoski Park Przemysłowy Sp. z o.o.</v>
      </c>
      <c r="C13" s="733" t="str">
        <f>'Sam-Budynki-WSAD'!C13</f>
        <v>BPP</v>
      </c>
      <c r="D13" s="709">
        <f>AZ13*'Sam-Budynki-WSAD'!D13</f>
        <v>738.83699999999999</v>
      </c>
      <c r="E13" s="94">
        <f>AZ13*'Sam-Budynki-WSAD'!E13</f>
        <v>187.42499999999998</v>
      </c>
      <c r="F13" s="95">
        <f>D13*(HLOOKUP(Ogolne!$D$6,'Wskazniki emisji elektrycznosc'!$B$8:$G$29,Ogolne!$E$7,TRUE))/1000</f>
        <v>0.725537934</v>
      </c>
      <c r="G13" s="709">
        <f>$AZ13*'Sam-Budynki-WSAD'!H13</f>
        <v>0</v>
      </c>
      <c r="H13" s="94">
        <f>$AZ13*'Sam-Budynki-WSAD'!I13</f>
        <v>0</v>
      </c>
      <c r="I13" s="95">
        <f>G13*'Wskazniki emisji paliw'!M$26</f>
        <v>0</v>
      </c>
      <c r="J13" s="709">
        <f>$AZ13*'Sam-Budynki-WSAD'!L13</f>
        <v>0</v>
      </c>
      <c r="K13" s="94">
        <f>$AZ13*'Sam-Budynki-WSAD'!M13</f>
        <v>0</v>
      </c>
      <c r="L13" s="95">
        <f>J13*'Wskazniki emisji paliw'!M$27</f>
        <v>0</v>
      </c>
      <c r="M13" s="709">
        <f>$AZ13*'Sam-Budynki-WSAD'!O13</f>
        <v>0</v>
      </c>
      <c r="N13" s="94">
        <f>$AZ13*'Sam-Budynki-WSAD'!P13</f>
        <v>0</v>
      </c>
      <c r="O13" s="95">
        <f>M13*'Wskazniki emisji paliw'!L$17</f>
        <v>0</v>
      </c>
      <c r="P13" s="709">
        <f>$AZ13*'Sam-Budynki-WSAD'!R13</f>
        <v>0</v>
      </c>
      <c r="Q13" s="94">
        <f>$AZ13*'Sam-Budynki-WSAD'!S13</f>
        <v>0</v>
      </c>
      <c r="R13" s="95">
        <f>P13*'Wskazniki emisji paliw'!L$18</f>
        <v>0</v>
      </c>
      <c r="S13" s="709">
        <f>$AZ13*'Sam-Budynki-WSAD'!U13</f>
        <v>0</v>
      </c>
      <c r="T13" s="94">
        <f>$AZ13*'Sam-Budynki-WSAD'!V13</f>
        <v>0</v>
      </c>
      <c r="U13" s="95">
        <f>S13*'Wskazniki emisji paliw'!N$10</f>
        <v>0</v>
      </c>
      <c r="V13" s="709">
        <f>$AZ13*'Sam-Budynki-WSAD'!X13</f>
        <v>0</v>
      </c>
      <c r="W13" s="94">
        <f>$AZ13*'Sam-Budynki-WSAD'!Y13</f>
        <v>0</v>
      </c>
      <c r="X13" s="95">
        <f>V13*'Wskazniki emisji paliw'!N$11</f>
        <v>0</v>
      </c>
      <c r="Y13" s="709">
        <f>$AZ13*'Sam-Budynki-WSAD'!AA13</f>
        <v>0</v>
      </c>
      <c r="Z13" s="94">
        <f>$AZ13*'Sam-Budynki-WSAD'!AB13</f>
        <v>0</v>
      </c>
      <c r="AA13" s="95">
        <f>Y13*'Wskazniki emisji paliw'!L$21</f>
        <v>0</v>
      </c>
      <c r="AB13" s="709">
        <f>$AZ13*'Sam-Budynki-WSAD'!AD13</f>
        <v>0</v>
      </c>
      <c r="AC13" s="94">
        <f>$AZ13*'Sam-Budynki-WSAD'!AE13</f>
        <v>0</v>
      </c>
      <c r="AD13" s="95">
        <f>AB13*'Wskazniki emisji paliw'!L$20</f>
        <v>0</v>
      </c>
      <c r="AE13" s="709">
        <f>$AZ13*'Sam-Budynki-WSAD'!AG13</f>
        <v>0</v>
      </c>
      <c r="AF13" s="94">
        <f>$AZ13*'Sam-Budynki-WSAD'!AH13</f>
        <v>0</v>
      </c>
      <c r="AG13" s="95">
        <f>AE13*'Wskazniki emisji paliw'!N$13</f>
        <v>0</v>
      </c>
      <c r="AH13" s="709">
        <f>$AZ13*'Sam-Budynki-WSAD'!AJ13</f>
        <v>5.5248299999999997</v>
      </c>
      <c r="AI13" s="94">
        <f>$AZ13*'Sam-Budynki-WSAD'!AK13</f>
        <v>831.86099999999999</v>
      </c>
      <c r="AJ13" s="96">
        <f>AH13*'Wskazniki emisji paliw'!K$35</f>
        <v>1.7900449199999999</v>
      </c>
      <c r="AK13" s="5"/>
      <c r="AL13" s="734" t="str">
        <f t="shared" si="0"/>
        <v>Bydgoski Park Przemysłowy Sp. z o.o.</v>
      </c>
      <c r="AM13" s="734" t="str">
        <f t="shared" si="1"/>
        <v>BPP</v>
      </c>
      <c r="AN13" s="97">
        <f>'Sam-Budynki-WSAD'!AQ13</f>
        <v>4380</v>
      </c>
      <c r="AO13" s="97">
        <f>'Sam-Budynki-WSAD'!AR13</f>
        <v>247</v>
      </c>
      <c r="AP13" s="97">
        <f>'Sam-Budynki-WSAD'!AS13</f>
        <v>1323</v>
      </c>
      <c r="AQ13" s="94">
        <f t="shared" si="2"/>
        <v>1019.2859999999999</v>
      </c>
      <c r="AR13" s="95">
        <f t="shared" si="3"/>
        <v>2.5155828539999998</v>
      </c>
      <c r="AS13" s="98">
        <f t="shared" si="4"/>
        <v>0.23271369863013697</v>
      </c>
      <c r="AT13" s="98">
        <f t="shared" si="5"/>
        <v>4.1266639676113357</v>
      </c>
      <c r="AU13" s="98">
        <f t="shared" si="6"/>
        <v>0.77043537414965979</v>
      </c>
      <c r="AV13" s="98">
        <f t="shared" si="7"/>
        <v>5.743339849315068E-4</v>
      </c>
      <c r="AW13" s="98">
        <f t="shared" si="8"/>
        <v>1.0184545967611335E-2</v>
      </c>
      <c r="AX13" s="99">
        <f t="shared" si="9"/>
        <v>1.9014231700680271E-3</v>
      </c>
      <c r="AY13" s="100" t="str">
        <f>'Sam-Budynki-WSAD'!BB13</f>
        <v>dane za 10 miesięcy od początku funkcjonowania</v>
      </c>
      <c r="AZ13" s="90">
        <v>0.153</v>
      </c>
      <c r="BA13" s="90"/>
      <c r="BB13" s="90"/>
      <c r="BC13" s="90"/>
      <c r="BD13" s="90"/>
      <c r="BE13" s="90"/>
      <c r="BF13" s="90"/>
      <c r="BG13" s="90"/>
    </row>
    <row r="14" spans="1:59" s="101" customFormat="1">
      <c r="A14" s="90"/>
      <c r="B14" s="713" t="str">
        <f>'Sam-Budynki-WSAD'!B14</f>
        <v>Bydgoskie Towarzystwo Budownictwa Społecznego Sp. z o.o.</v>
      </c>
      <c r="C14" s="726" t="str">
        <f>'Sam-Budynki-WSAD'!C14</f>
        <v>BTBS</v>
      </c>
      <c r="D14" s="709">
        <f>AZ14*'Sam-Budynki-WSAD'!D14</f>
        <v>51830</v>
      </c>
      <c r="E14" s="94">
        <f>AZ14*'Sam-Budynki-WSAD'!E14</f>
        <v>22059.82</v>
      </c>
      <c r="F14" s="95">
        <f>D14*(HLOOKUP(Ogolne!$D$6,'Wskazniki emisji elektrycznosc'!$B$8:$G$29,Ogolne!$E$7,TRUE))/1000</f>
        <v>50.897059999999996</v>
      </c>
      <c r="G14" s="709">
        <f>$AZ14*'Sam-Budynki-WSAD'!H14</f>
        <v>0</v>
      </c>
      <c r="H14" s="94">
        <f>$AZ14*'Sam-Budynki-WSAD'!I14</f>
        <v>0</v>
      </c>
      <c r="I14" s="95">
        <f>G14*'Wskazniki emisji paliw'!M$26</f>
        <v>0</v>
      </c>
      <c r="J14" s="709">
        <f>$AZ14*'Sam-Budynki-WSAD'!L14</f>
        <v>0</v>
      </c>
      <c r="K14" s="94">
        <f>$AZ14*'Sam-Budynki-WSAD'!M14</f>
        <v>0</v>
      </c>
      <c r="L14" s="95">
        <f>J14*'Wskazniki emisji paliw'!M$27</f>
        <v>0</v>
      </c>
      <c r="M14" s="709">
        <f>$AZ14*'Sam-Budynki-WSAD'!O14</f>
        <v>0</v>
      </c>
      <c r="N14" s="94">
        <f>$AZ14*'Sam-Budynki-WSAD'!P14</f>
        <v>0</v>
      </c>
      <c r="O14" s="95">
        <f>M14*'Wskazniki emisji paliw'!L$17</f>
        <v>0</v>
      </c>
      <c r="P14" s="709">
        <f>$AZ14*'Sam-Budynki-WSAD'!R14</f>
        <v>0</v>
      </c>
      <c r="Q14" s="94">
        <f>$AZ14*'Sam-Budynki-WSAD'!S14</f>
        <v>0</v>
      </c>
      <c r="R14" s="95">
        <f>P14*'Wskazniki emisji paliw'!L$18</f>
        <v>0</v>
      </c>
      <c r="S14" s="709">
        <f>$AZ14*'Sam-Budynki-WSAD'!U14</f>
        <v>0</v>
      </c>
      <c r="T14" s="94">
        <f>$AZ14*'Sam-Budynki-WSAD'!V14</f>
        <v>0</v>
      </c>
      <c r="U14" s="95">
        <f>S14*'Wskazniki emisji paliw'!N$10</f>
        <v>0</v>
      </c>
      <c r="V14" s="725">
        <f>$AZ14*'Sam-Budynki-WSAD'!X14</f>
        <v>0</v>
      </c>
      <c r="W14" s="94">
        <f>$AZ14*'Sam-Budynki-WSAD'!Y14</f>
        <v>0</v>
      </c>
      <c r="X14" s="95">
        <f>V14*'Wskazniki emisji paliw'!N$11</f>
        <v>0</v>
      </c>
      <c r="Y14" s="709">
        <f>$AZ14*'Sam-Budynki-WSAD'!AA14</f>
        <v>0</v>
      </c>
      <c r="Z14" s="94">
        <f>$AZ14*'Sam-Budynki-WSAD'!AB14</f>
        <v>0</v>
      </c>
      <c r="AA14" s="95">
        <f>Y14*'Wskazniki emisji paliw'!L$21</f>
        <v>0</v>
      </c>
      <c r="AB14" s="709">
        <f>$AZ14*'Sam-Budynki-WSAD'!AD14</f>
        <v>0</v>
      </c>
      <c r="AC14" s="94">
        <f>$AZ14*'Sam-Budynki-WSAD'!AE14</f>
        <v>0</v>
      </c>
      <c r="AD14" s="95">
        <f>AB14*'Wskazniki emisji paliw'!L$20</f>
        <v>0</v>
      </c>
      <c r="AE14" s="709">
        <f>$AZ14*'Sam-Budynki-WSAD'!AG14</f>
        <v>0</v>
      </c>
      <c r="AF14" s="94">
        <f>$AZ14*'Sam-Budynki-WSAD'!AH14</f>
        <v>0</v>
      </c>
      <c r="AG14" s="95">
        <f>AE14*'Wskazniki emisji paliw'!N$13</f>
        <v>0</v>
      </c>
      <c r="AH14" s="709">
        <f>$AZ14*'Sam-Budynki-WSAD'!AJ14</f>
        <v>2003.33</v>
      </c>
      <c r="AI14" s="94">
        <f>$AZ14*'Sam-Budynki-WSAD'!AK14</f>
        <v>393402.34</v>
      </c>
      <c r="AJ14" s="96">
        <f>AH14*'Wskazniki emisji paliw'!K$35</f>
        <v>649.07892000000004</v>
      </c>
      <c r="AK14" s="5"/>
      <c r="AL14" s="91" t="str">
        <f t="shared" si="0"/>
        <v>Bydgoskie Towarzystwo Budownictwa Społecznego Sp. z o.o.</v>
      </c>
      <c r="AM14" s="91" t="str">
        <f t="shared" si="1"/>
        <v>BTBS</v>
      </c>
      <c r="AN14" s="97">
        <f>'Sam-Budynki-WSAD'!AQ14</f>
        <v>1686</v>
      </c>
      <c r="AO14" s="97">
        <f>'Sam-Budynki-WSAD'!AR14</f>
        <v>3</v>
      </c>
      <c r="AP14" s="97">
        <f>'Sam-Budynki-WSAD'!AS14</f>
        <v>470.19</v>
      </c>
      <c r="AQ14" s="94">
        <f t="shared" si="2"/>
        <v>415462.16000000003</v>
      </c>
      <c r="AR14" s="95">
        <f t="shared" si="3"/>
        <v>699.97598000000005</v>
      </c>
      <c r="AS14" s="98">
        <f t="shared" si="4"/>
        <v>246.41883748517202</v>
      </c>
      <c r="AT14" s="98">
        <f t="shared" si="5"/>
        <v>138487.38666666669</v>
      </c>
      <c r="AU14" s="98">
        <f t="shared" si="6"/>
        <v>883.60484059635473</v>
      </c>
      <c r="AV14" s="98">
        <f t="shared" si="7"/>
        <v>0.4151696204033215</v>
      </c>
      <c r="AW14" s="98">
        <f t="shared" si="8"/>
        <v>233.32532666666668</v>
      </c>
      <c r="AX14" s="99">
        <f t="shared" si="9"/>
        <v>1.4887087773027925</v>
      </c>
      <c r="AY14" s="100">
        <f>'Sam-Budynki-WSAD'!BB14</f>
        <v>0</v>
      </c>
      <c r="AZ14" s="90">
        <v>1</v>
      </c>
      <c r="BA14" s="90"/>
      <c r="BB14" s="90"/>
      <c r="BC14" s="90"/>
      <c r="BD14" s="90"/>
      <c r="BE14" s="90"/>
      <c r="BF14" s="90"/>
      <c r="BG14" s="90"/>
    </row>
    <row r="15" spans="1:59" s="101" customFormat="1">
      <c r="A15" s="90"/>
      <c r="B15" s="713" t="str">
        <f>'Sam-Budynki-WSAD'!B15</f>
        <v>Galeria Miejska BWA</v>
      </c>
      <c r="C15" s="726" t="str">
        <f>'Sam-Budynki-WSAD'!C15</f>
        <v>GMBWA</v>
      </c>
      <c r="D15" s="709">
        <f>AZ15*'Sam-Budynki-WSAD'!D15</f>
        <v>47492</v>
      </c>
      <c r="E15" s="94">
        <f>AZ15*'Sam-Budynki-WSAD'!E15</f>
        <v>7889.71</v>
      </c>
      <c r="F15" s="95">
        <f>D15*(HLOOKUP(Ogolne!$D$6,'Wskazniki emisji elektrycznosc'!$B$8:$G$29,Ogolne!$E$7,TRUE))/1000</f>
        <v>46.637143999999999</v>
      </c>
      <c r="G15" s="709">
        <f>$AZ15*'Sam-Budynki-WSAD'!H15</f>
        <v>90</v>
      </c>
      <c r="H15" s="94">
        <f>$AZ15*'Sam-Budynki-WSAD'!I15</f>
        <v>83.2</v>
      </c>
      <c r="I15" s="95">
        <f>G15*'Wskazniki emisji paliw'!M$26</f>
        <v>0.65270696954424379</v>
      </c>
      <c r="J15" s="709">
        <f>$AZ15*'Sam-Budynki-WSAD'!L15</f>
        <v>0</v>
      </c>
      <c r="K15" s="94">
        <f>$AZ15*'Sam-Budynki-WSAD'!M15</f>
        <v>0</v>
      </c>
      <c r="L15" s="95">
        <f>J15*'Wskazniki emisji paliw'!M$27</f>
        <v>0</v>
      </c>
      <c r="M15" s="709">
        <f>$AZ15*'Sam-Budynki-WSAD'!O15</f>
        <v>0</v>
      </c>
      <c r="N15" s="94">
        <f>$AZ15*'Sam-Budynki-WSAD'!P15</f>
        <v>0</v>
      </c>
      <c r="O15" s="95">
        <f>M15*'Wskazniki emisji paliw'!L$17</f>
        <v>0</v>
      </c>
      <c r="P15" s="709">
        <f>$AZ15*'Sam-Budynki-WSAD'!R15</f>
        <v>0</v>
      </c>
      <c r="Q15" s="94">
        <f>$AZ15*'Sam-Budynki-WSAD'!S15</f>
        <v>0</v>
      </c>
      <c r="R15" s="95">
        <f>P15*'Wskazniki emisji paliw'!L$18</f>
        <v>0</v>
      </c>
      <c r="S15" s="709">
        <f>$AZ15*'Sam-Budynki-WSAD'!U15</f>
        <v>0</v>
      </c>
      <c r="T15" s="94">
        <f>$AZ15*'Sam-Budynki-WSAD'!V15</f>
        <v>0</v>
      </c>
      <c r="U15" s="95">
        <f>S15*'Wskazniki emisji paliw'!N$10</f>
        <v>0</v>
      </c>
      <c r="V15" s="724">
        <f>$AZ15*'Sam-Budynki-WSAD'!X15</f>
        <v>0</v>
      </c>
      <c r="W15" s="94">
        <f>$AZ15*'Sam-Budynki-WSAD'!Y15</f>
        <v>0</v>
      </c>
      <c r="X15" s="95">
        <f>V15*'Wskazniki emisji paliw'!N$11</f>
        <v>0</v>
      </c>
      <c r="Y15" s="709">
        <f>$AZ15*'Sam-Budynki-WSAD'!AA15</f>
        <v>0</v>
      </c>
      <c r="Z15" s="94">
        <f>$AZ15*'Sam-Budynki-WSAD'!AB15</f>
        <v>0</v>
      </c>
      <c r="AA15" s="95">
        <f>Y15*'Wskazniki emisji paliw'!L$21</f>
        <v>0</v>
      </c>
      <c r="AB15" s="709">
        <f>$AZ15*'Sam-Budynki-WSAD'!AD15</f>
        <v>0</v>
      </c>
      <c r="AC15" s="94">
        <f>$AZ15*'Sam-Budynki-WSAD'!AE15</f>
        <v>0</v>
      </c>
      <c r="AD15" s="95">
        <f>AB15*'Wskazniki emisji paliw'!L$20</f>
        <v>0</v>
      </c>
      <c r="AE15" s="709">
        <f>$AZ15*'Sam-Budynki-WSAD'!AG15</f>
        <v>0</v>
      </c>
      <c r="AF15" s="94">
        <f>$AZ15*'Sam-Budynki-WSAD'!AH15</f>
        <v>0</v>
      </c>
      <c r="AG15" s="95">
        <f>AE15*'Wskazniki emisji paliw'!N$13</f>
        <v>0</v>
      </c>
      <c r="AH15" s="709">
        <f>$AZ15*'Sam-Budynki-WSAD'!AJ15</f>
        <v>277.77999999999997</v>
      </c>
      <c r="AI15" s="94">
        <f>$AZ15*'Sam-Budynki-WSAD'!AK15</f>
        <v>21313.01</v>
      </c>
      <c r="AJ15" s="96">
        <f>AH15*'Wskazniki emisji paliw'!K$35</f>
        <v>90.000719999999987</v>
      </c>
      <c r="AK15" s="5"/>
      <c r="AL15" s="91" t="str">
        <f t="shared" si="0"/>
        <v>Galeria Miejska BWA</v>
      </c>
      <c r="AM15" s="91" t="str">
        <f t="shared" si="1"/>
        <v>GMBWA</v>
      </c>
      <c r="AN15" s="97">
        <f>'Sam-Budynki-WSAD'!AQ15</f>
        <v>10840</v>
      </c>
      <c r="AO15" s="97">
        <f>'Sam-Budynki-WSAD'!AR15</f>
        <v>90</v>
      </c>
      <c r="AP15" s="97">
        <f>'Sam-Budynki-WSAD'!AS15</f>
        <v>2049.5099999999998</v>
      </c>
      <c r="AQ15" s="94">
        <f t="shared" si="2"/>
        <v>29285.919999999998</v>
      </c>
      <c r="AR15" s="95">
        <f t="shared" si="3"/>
        <v>137.29057096954423</v>
      </c>
      <c r="AS15" s="98">
        <f t="shared" si="4"/>
        <v>2.7016531365313652</v>
      </c>
      <c r="AT15" s="98">
        <f t="shared" si="5"/>
        <v>325.3991111111111</v>
      </c>
      <c r="AU15" s="98">
        <f t="shared" si="6"/>
        <v>14.289230108660119</v>
      </c>
      <c r="AV15" s="98">
        <f t="shared" si="7"/>
        <v>1.2665181823758693E-2</v>
      </c>
      <c r="AW15" s="98">
        <f t="shared" si="8"/>
        <v>1.5254507885504915</v>
      </c>
      <c r="AX15" s="99">
        <f t="shared" si="9"/>
        <v>6.6987021761076668E-2</v>
      </c>
      <c r="AY15" s="100" t="str">
        <f>'Sam-Budynki-WSAD'!BB15</f>
        <v>koszty bez opłat przesyłowych i abonamentowych</v>
      </c>
      <c r="AZ15" s="90">
        <v>1</v>
      </c>
      <c r="BA15" s="90"/>
      <c r="BB15" s="90"/>
      <c r="BC15" s="90"/>
      <c r="BD15" s="90"/>
      <c r="BE15" s="90"/>
      <c r="BF15" s="90"/>
      <c r="BG15" s="90"/>
    </row>
    <row r="16" spans="1:59" s="101" customFormat="1">
      <c r="A16" s="90"/>
      <c r="B16" s="713" t="str">
        <f>'Sam-Budynki-WSAD'!B16</f>
        <v xml:space="preserve">Hala Sportowo-WKodowiskowa Łuczniczka Bydgoszcz </v>
      </c>
      <c r="C16" s="726" t="str">
        <f>'Sam-Budynki-WSAD'!C16</f>
        <v>HSW</v>
      </c>
      <c r="D16" s="709">
        <f>AZ16*'Sam-Budynki-WSAD'!D16</f>
        <v>571663</v>
      </c>
      <c r="E16" s="94">
        <f>AZ16*'Sam-Budynki-WSAD'!E16</f>
        <v>276049.07</v>
      </c>
      <c r="F16" s="95">
        <f>D16*(HLOOKUP(Ogolne!$D$6,'Wskazniki emisji elektrycznosc'!$B$8:$G$29,Ogolne!$E$7,TRUE))/1000</f>
        <v>561.37306599999999</v>
      </c>
      <c r="G16" s="709">
        <f>$AZ16*'Sam-Budynki-WSAD'!H16</f>
        <v>0</v>
      </c>
      <c r="H16" s="94">
        <f>$AZ16*'Sam-Budynki-WSAD'!I16</f>
        <v>0</v>
      </c>
      <c r="I16" s="95">
        <f>G16*'Wskazniki emisji paliw'!M$26</f>
        <v>0</v>
      </c>
      <c r="J16" s="709">
        <f>$AZ16*'Sam-Budynki-WSAD'!L16</f>
        <v>0</v>
      </c>
      <c r="K16" s="94">
        <f>$AZ16*'Sam-Budynki-WSAD'!M16</f>
        <v>0</v>
      </c>
      <c r="L16" s="95">
        <f>J16*'Wskazniki emisji paliw'!M$27</f>
        <v>0</v>
      </c>
      <c r="M16" s="709">
        <f>$AZ16*'Sam-Budynki-WSAD'!O16</f>
        <v>0</v>
      </c>
      <c r="N16" s="94">
        <f>$AZ16*'Sam-Budynki-WSAD'!P16</f>
        <v>0</v>
      </c>
      <c r="O16" s="95">
        <f>M16*'Wskazniki emisji paliw'!L$17</f>
        <v>0</v>
      </c>
      <c r="P16" s="709">
        <f>$AZ16*'Sam-Budynki-WSAD'!R16</f>
        <v>0</v>
      </c>
      <c r="Q16" s="94">
        <f>$AZ16*'Sam-Budynki-WSAD'!S16</f>
        <v>0</v>
      </c>
      <c r="R16" s="95">
        <f>P16*'Wskazniki emisji paliw'!L$18</f>
        <v>0</v>
      </c>
      <c r="S16" s="709">
        <f>$AZ16*'Sam-Budynki-WSAD'!U16</f>
        <v>0</v>
      </c>
      <c r="T16" s="94">
        <f>$AZ16*'Sam-Budynki-WSAD'!V16</f>
        <v>0</v>
      </c>
      <c r="U16" s="95">
        <f>S16*'Wskazniki emisji paliw'!N$10</f>
        <v>0</v>
      </c>
      <c r="V16" s="709">
        <f>$AZ16*'Sam-Budynki-WSAD'!X16</f>
        <v>0</v>
      </c>
      <c r="W16" s="94">
        <f>$AZ16*'Sam-Budynki-WSAD'!Y16</f>
        <v>0</v>
      </c>
      <c r="X16" s="95">
        <f>V16*'Wskazniki emisji paliw'!N$11</f>
        <v>0</v>
      </c>
      <c r="Y16" s="709">
        <f>$AZ16*'Sam-Budynki-WSAD'!AA16</f>
        <v>0</v>
      </c>
      <c r="Z16" s="94">
        <f>$AZ16*'Sam-Budynki-WSAD'!AB16</f>
        <v>0</v>
      </c>
      <c r="AA16" s="95">
        <f>Y16*'Wskazniki emisji paliw'!L$21</f>
        <v>0</v>
      </c>
      <c r="AB16" s="709">
        <f>$AZ16*'Sam-Budynki-WSAD'!AD16</f>
        <v>0</v>
      </c>
      <c r="AC16" s="94">
        <f>$AZ16*'Sam-Budynki-WSAD'!AE16</f>
        <v>0</v>
      </c>
      <c r="AD16" s="95">
        <f>AB16*'Wskazniki emisji paliw'!L$20</f>
        <v>0</v>
      </c>
      <c r="AE16" s="709">
        <f>$AZ16*'Sam-Budynki-WSAD'!AG16</f>
        <v>0</v>
      </c>
      <c r="AF16" s="94">
        <f>$AZ16*'Sam-Budynki-WSAD'!AH16</f>
        <v>0</v>
      </c>
      <c r="AG16" s="95">
        <f>AE16*'Wskazniki emisji paliw'!N$13</f>
        <v>0</v>
      </c>
      <c r="AH16" s="709">
        <f>$AZ16*'Sam-Budynki-WSAD'!AJ16</f>
        <v>1232.22</v>
      </c>
      <c r="AI16" s="94">
        <f>$AZ16*'Sam-Budynki-WSAD'!AK16</f>
        <v>302569.57</v>
      </c>
      <c r="AJ16" s="96">
        <f>AH16*'Wskazniki emisji paliw'!K$35</f>
        <v>399.23928000000001</v>
      </c>
      <c r="AK16" s="5"/>
      <c r="AL16" s="91" t="str">
        <f t="shared" si="0"/>
        <v xml:space="preserve">Hala Sportowo-WKodowiskowa Łuczniczka Bydgoszcz </v>
      </c>
      <c r="AM16" s="91" t="str">
        <f t="shared" si="1"/>
        <v>HSW</v>
      </c>
      <c r="AN16" s="97">
        <f>'Sam-Budynki-WSAD'!AQ16</f>
        <v>3650</v>
      </c>
      <c r="AO16" s="97">
        <f>'Sam-Budynki-WSAD'!AR16</f>
        <v>15</v>
      </c>
      <c r="AP16" s="97">
        <f>'Sam-Budynki-WSAD'!AS16</f>
        <v>17231</v>
      </c>
      <c r="AQ16" s="94">
        <f t="shared" si="2"/>
        <v>578618.64</v>
      </c>
      <c r="AR16" s="95">
        <f t="shared" si="3"/>
        <v>960.612346</v>
      </c>
      <c r="AS16" s="98">
        <f t="shared" si="4"/>
        <v>158.52565479452056</v>
      </c>
      <c r="AT16" s="98">
        <f t="shared" si="5"/>
        <v>38574.576000000001</v>
      </c>
      <c r="AU16" s="98">
        <f t="shared" si="6"/>
        <v>33.580096337995471</v>
      </c>
      <c r="AV16" s="98">
        <f t="shared" si="7"/>
        <v>0.26318146465753423</v>
      </c>
      <c r="AW16" s="98">
        <f t="shared" si="8"/>
        <v>64.040823066666661</v>
      </c>
      <c r="AX16" s="99">
        <f t="shared" si="9"/>
        <v>5.5749077012361439E-2</v>
      </c>
      <c r="AY16" s="100">
        <f>'Sam-Budynki-WSAD'!BB16</f>
        <v>0</v>
      </c>
      <c r="AZ16" s="90">
        <v>1</v>
      </c>
      <c r="BA16" s="90"/>
      <c r="BB16" s="90"/>
      <c r="BC16" s="90"/>
      <c r="BD16" s="90"/>
      <c r="BE16" s="90"/>
      <c r="BF16" s="90"/>
      <c r="BG16" s="90"/>
    </row>
    <row r="17" spans="1:59" s="101" customFormat="1">
      <c r="A17" s="90"/>
      <c r="B17" s="713" t="str">
        <f>'Sam-Budynki-WSAD'!B17</f>
        <v xml:space="preserve">Izba Wytrzeźwień w Bydgoszczy </v>
      </c>
      <c r="C17" s="726" t="str">
        <f>'Sam-Budynki-WSAD'!C17</f>
        <v>IW</v>
      </c>
      <c r="D17" s="709">
        <f>AZ17*'Sam-Budynki-WSAD'!D17</f>
        <v>27847</v>
      </c>
      <c r="E17" s="94">
        <f>AZ17*'Sam-Budynki-WSAD'!E17</f>
        <v>19452.07</v>
      </c>
      <c r="F17" s="95">
        <f>D17*(HLOOKUP(Ogolne!$D$6,'Wskazniki emisji elektrycznosc'!$B$8:$G$29,Ogolne!$E$7,TRUE))/1000</f>
        <v>27.345753999999999</v>
      </c>
      <c r="G17" s="709">
        <f>$AZ17*'Sam-Budynki-WSAD'!H17</f>
        <v>0</v>
      </c>
      <c r="H17" s="94">
        <f>$AZ17*'Sam-Budynki-WSAD'!I17</f>
        <v>0</v>
      </c>
      <c r="I17" s="95">
        <f>G17*'Wskazniki emisji paliw'!M$26</f>
        <v>0</v>
      </c>
      <c r="J17" s="709">
        <f>$AZ17*'Sam-Budynki-WSAD'!L17</f>
        <v>0</v>
      </c>
      <c r="K17" s="94">
        <f>$AZ17*'Sam-Budynki-WSAD'!M17</f>
        <v>0</v>
      </c>
      <c r="L17" s="95">
        <f>J17*'Wskazniki emisji paliw'!M$27</f>
        <v>0</v>
      </c>
      <c r="M17" s="709">
        <f>$AZ17*'Sam-Budynki-WSAD'!O17</f>
        <v>0</v>
      </c>
      <c r="N17" s="94">
        <f>$AZ17*'Sam-Budynki-WSAD'!P17</f>
        <v>0</v>
      </c>
      <c r="O17" s="95">
        <f>M17*'Wskazniki emisji paliw'!L$17</f>
        <v>0</v>
      </c>
      <c r="P17" s="709">
        <f>$AZ17*'Sam-Budynki-WSAD'!R17</f>
        <v>0</v>
      </c>
      <c r="Q17" s="94">
        <f>$AZ17*'Sam-Budynki-WSAD'!S17</f>
        <v>0</v>
      </c>
      <c r="R17" s="95">
        <f>P17*'Wskazniki emisji paliw'!L$18</f>
        <v>0</v>
      </c>
      <c r="S17" s="709">
        <f>$AZ17*'Sam-Budynki-WSAD'!U17</f>
        <v>23</v>
      </c>
      <c r="T17" s="94">
        <f>$AZ17*'Sam-Budynki-WSAD'!V17</f>
        <v>8345</v>
      </c>
      <c r="U17" s="95">
        <f>S17*'Wskazniki emisji paliw'!N$10</f>
        <v>55.087759999999996</v>
      </c>
      <c r="V17" s="709">
        <f>$AZ17*'Sam-Budynki-WSAD'!X17</f>
        <v>0</v>
      </c>
      <c r="W17" s="94">
        <f>$AZ17*'Sam-Budynki-WSAD'!Y17</f>
        <v>0</v>
      </c>
      <c r="X17" s="95">
        <f>V17*'Wskazniki emisji paliw'!N$11</f>
        <v>0</v>
      </c>
      <c r="Y17" s="709">
        <f>$AZ17*'Sam-Budynki-WSAD'!AA17</f>
        <v>0</v>
      </c>
      <c r="Z17" s="94">
        <f>$AZ17*'Sam-Budynki-WSAD'!AB17</f>
        <v>0</v>
      </c>
      <c r="AA17" s="95">
        <f>Y17*'Wskazniki emisji paliw'!L$21</f>
        <v>0</v>
      </c>
      <c r="AB17" s="709">
        <f>$AZ17*'Sam-Budynki-WSAD'!AD17</f>
        <v>0</v>
      </c>
      <c r="AC17" s="94">
        <f>$AZ17*'Sam-Budynki-WSAD'!AE17</f>
        <v>0</v>
      </c>
      <c r="AD17" s="95">
        <f>AB17*'Wskazniki emisji paliw'!L$20</f>
        <v>0</v>
      </c>
      <c r="AE17" s="709">
        <f>$AZ17*'Sam-Budynki-WSAD'!AG17</f>
        <v>0</v>
      </c>
      <c r="AF17" s="94">
        <f>$AZ17*'Sam-Budynki-WSAD'!AH17</f>
        <v>0</v>
      </c>
      <c r="AG17" s="95">
        <f>AE17*'Wskazniki emisji paliw'!N$13</f>
        <v>0</v>
      </c>
      <c r="AH17" s="709">
        <f>$AZ17*'Sam-Budynki-WSAD'!AJ17</f>
        <v>0</v>
      </c>
      <c r="AI17" s="94">
        <f>$AZ17*'Sam-Budynki-WSAD'!AK17</f>
        <v>0</v>
      </c>
      <c r="AJ17" s="96">
        <f>AH17*'Wskazniki emisji paliw'!K$35</f>
        <v>0</v>
      </c>
      <c r="AK17" s="5"/>
      <c r="AL17" s="91" t="str">
        <f t="shared" si="0"/>
        <v xml:space="preserve">Izba Wytrzeźwień w Bydgoszczy </v>
      </c>
      <c r="AM17" s="91" t="str">
        <f t="shared" si="1"/>
        <v>IW</v>
      </c>
      <c r="AN17" s="97">
        <f>'Sam-Budynki-WSAD'!AQ17</f>
        <v>8640</v>
      </c>
      <c r="AO17" s="97">
        <f>'Sam-Budynki-WSAD'!AR17</f>
        <v>43</v>
      </c>
      <c r="AP17" s="97">
        <f>'Sam-Budynki-WSAD'!AS17</f>
        <v>1500</v>
      </c>
      <c r="AQ17" s="94">
        <f t="shared" si="2"/>
        <v>27797.07</v>
      </c>
      <c r="AR17" s="95">
        <f t="shared" si="3"/>
        <v>82.433514000000002</v>
      </c>
      <c r="AS17" s="98">
        <f t="shared" si="4"/>
        <v>3.2172534722222221</v>
      </c>
      <c r="AT17" s="98">
        <f t="shared" si="5"/>
        <v>646.44348837209304</v>
      </c>
      <c r="AU17" s="98">
        <f t="shared" si="6"/>
        <v>18.531379999999999</v>
      </c>
      <c r="AV17" s="98">
        <f t="shared" si="7"/>
        <v>9.5409159722222216E-3</v>
      </c>
      <c r="AW17" s="98">
        <f t="shared" si="8"/>
        <v>1.9170584651162792</v>
      </c>
      <c r="AX17" s="99">
        <f t="shared" si="9"/>
        <v>5.4955676000000002E-2</v>
      </c>
      <c r="AY17" s="100">
        <f>'Sam-Budynki-WSAD'!BB17</f>
        <v>0</v>
      </c>
      <c r="AZ17" s="90">
        <v>1</v>
      </c>
      <c r="BA17" s="90"/>
      <c r="BB17" s="90"/>
      <c r="BC17" s="90"/>
      <c r="BD17" s="90"/>
      <c r="BE17" s="90"/>
      <c r="BF17" s="90"/>
      <c r="BG17" s="90"/>
    </row>
    <row r="18" spans="1:59" s="101" customFormat="1">
      <c r="A18" s="90"/>
      <c r="B18" s="732" t="str">
        <f>'Sam-Budynki-WSAD'!B18</f>
        <v>Komunalne Przedsiębiorstwo Energetyki Cieplnej Sp. z o.o.</v>
      </c>
      <c r="C18" s="733" t="str">
        <f>'Sam-Budynki-WSAD'!C18</f>
        <v>KPEC</v>
      </c>
      <c r="D18" s="709">
        <f>AZ18*'Sam-Budynki-WSAD'!D18</f>
        <v>10105844</v>
      </c>
      <c r="E18" s="94">
        <f>AZ18*'Sam-Budynki-WSAD'!E18</f>
        <v>1470872.87</v>
      </c>
      <c r="F18" s="95">
        <f>D18*(HLOOKUP(Ogolne!$D$6,'Wskazniki emisji elektrycznosc'!$B$8:$G$29,Ogolne!$E$7,TRUE))/1000</f>
        <v>9923.9388080000008</v>
      </c>
      <c r="G18" s="709">
        <f>$AZ18*'Sam-Budynki-WSAD'!H18</f>
        <v>0</v>
      </c>
      <c r="H18" s="94">
        <f>$AZ18*'Sam-Budynki-WSAD'!I18</f>
        <v>0</v>
      </c>
      <c r="I18" s="95">
        <f>G18*'Wskazniki emisji paliw'!M$26</f>
        <v>0</v>
      </c>
      <c r="J18" s="709">
        <f>$AZ18*'Sam-Budynki-WSAD'!L18</f>
        <v>0</v>
      </c>
      <c r="K18" s="94">
        <f>$AZ18*'Sam-Budynki-WSAD'!M18</f>
        <v>0</v>
      </c>
      <c r="L18" s="95">
        <f>J18*'Wskazniki emisji paliw'!M$27</f>
        <v>0</v>
      </c>
      <c r="M18" s="709">
        <f>$AZ18*'Sam-Budynki-WSAD'!O18</f>
        <v>0</v>
      </c>
      <c r="N18" s="94">
        <f>$AZ18*'Sam-Budynki-WSAD'!P18</f>
        <v>0</v>
      </c>
      <c r="O18" s="95">
        <f>M18*'Wskazniki emisji paliw'!L$17</f>
        <v>0</v>
      </c>
      <c r="P18" s="709">
        <f>$AZ18*'Sam-Budynki-WSAD'!R18</f>
        <v>0</v>
      </c>
      <c r="Q18" s="94">
        <f>$AZ18*'Sam-Budynki-WSAD'!S18</f>
        <v>0</v>
      </c>
      <c r="R18" s="95">
        <f>P18*'Wskazniki emisji paliw'!L$18</f>
        <v>0</v>
      </c>
      <c r="S18" s="709">
        <f>$AZ18*'Sam-Budynki-WSAD'!U18</f>
        <v>0</v>
      </c>
      <c r="T18" s="94">
        <f>$AZ18*'Sam-Budynki-WSAD'!V18</f>
        <v>0</v>
      </c>
      <c r="U18" s="95">
        <f>S18*'Wskazniki emisji paliw'!N$10</f>
        <v>0</v>
      </c>
      <c r="V18" s="709">
        <f>$AZ18*'Sam-Budynki-WSAD'!X18</f>
        <v>0</v>
      </c>
      <c r="W18" s="94">
        <f>$AZ18*'Sam-Budynki-WSAD'!Y18</f>
        <v>0</v>
      </c>
      <c r="X18" s="95">
        <f>V18*'Wskazniki emisji paliw'!N$11</f>
        <v>0</v>
      </c>
      <c r="Y18" s="709">
        <f>$AZ18*'Sam-Budynki-WSAD'!AA18</f>
        <v>0</v>
      </c>
      <c r="Z18" s="94">
        <f>$AZ18*'Sam-Budynki-WSAD'!AB18</f>
        <v>0</v>
      </c>
      <c r="AA18" s="95">
        <f>Y18*'Wskazniki emisji paliw'!L$21</f>
        <v>0</v>
      </c>
      <c r="AB18" s="709">
        <f>$AZ18*'Sam-Budynki-WSAD'!AD18</f>
        <v>0</v>
      </c>
      <c r="AC18" s="94">
        <f>$AZ18*'Sam-Budynki-WSAD'!AE18</f>
        <v>0</v>
      </c>
      <c r="AD18" s="95">
        <f>AB18*'Wskazniki emisji paliw'!L$20</f>
        <v>0</v>
      </c>
      <c r="AE18" s="709">
        <f>$AZ18*'Sam-Budynki-WSAD'!AG18</f>
        <v>0</v>
      </c>
      <c r="AF18" s="94">
        <f>$AZ18*'Sam-Budynki-WSAD'!AH18</f>
        <v>0</v>
      </c>
      <c r="AG18" s="95">
        <f>AE18*'Wskazniki emisji paliw'!N$13</f>
        <v>0</v>
      </c>
      <c r="AH18" s="709">
        <f>$AZ18*'Sam-Budynki-WSAD'!AJ18</f>
        <v>4621.59</v>
      </c>
      <c r="AI18" s="94">
        <f>$AZ18*'Sam-Budynki-WSAD'!AK18</f>
        <v>836486.73</v>
      </c>
      <c r="AJ18" s="96">
        <f>AH18*'Wskazniki emisji paliw'!K$35</f>
        <v>1497.39516</v>
      </c>
      <c r="AK18" s="5"/>
      <c r="AL18" s="734" t="str">
        <f t="shared" si="0"/>
        <v>Komunalne Przedsiębiorstwo Energetyki Cieplnej Sp. z o.o.</v>
      </c>
      <c r="AM18" s="734" t="str">
        <f t="shared" si="1"/>
        <v>KPEC</v>
      </c>
      <c r="AN18" s="97">
        <f>'Sam-Budynki-WSAD'!AQ18</f>
        <v>208248</v>
      </c>
      <c r="AO18" s="97">
        <f>'Sam-Budynki-WSAD'!AR18</f>
        <v>564</v>
      </c>
      <c r="AP18" s="97">
        <f>'Sam-Budynki-WSAD'!AS18</f>
        <v>22900.38</v>
      </c>
      <c r="AQ18" s="94">
        <f t="shared" si="2"/>
        <v>2307359.6</v>
      </c>
      <c r="AR18" s="95">
        <f t="shared" si="3"/>
        <v>11421.333968000001</v>
      </c>
      <c r="AS18" s="98">
        <f t="shared" si="4"/>
        <v>11.07986439245515</v>
      </c>
      <c r="AT18" s="98">
        <f t="shared" si="5"/>
        <v>4091.0631205673762</v>
      </c>
      <c r="AU18" s="98">
        <f t="shared" si="6"/>
        <v>100.75638919528846</v>
      </c>
      <c r="AV18" s="98">
        <f t="shared" si="7"/>
        <v>5.4844867504129695E-2</v>
      </c>
      <c r="AW18" s="98">
        <f t="shared" si="8"/>
        <v>20.250592141843974</v>
      </c>
      <c r="AX18" s="99">
        <f t="shared" si="9"/>
        <v>0.49873993217579798</v>
      </c>
      <c r="AY18" s="100">
        <f>'Sam-Budynki-WSAD'!BB18</f>
        <v>0</v>
      </c>
      <c r="AZ18" s="90">
        <v>1</v>
      </c>
      <c r="BA18" s="90"/>
      <c r="BB18" s="90"/>
      <c r="BC18" s="90"/>
      <c r="BD18" s="90"/>
      <c r="BE18" s="90"/>
      <c r="BF18" s="90"/>
      <c r="BG18" s="90"/>
    </row>
    <row r="19" spans="1:59" s="101" customFormat="1">
      <c r="A19" s="90"/>
      <c r="B19" s="713" t="str">
        <f>'Sam-Budynki-WSAD'!B19</f>
        <v>Leśny Park Kultury i Wypoczynku "Myślęcinek" Sp. z o.o.</v>
      </c>
      <c r="C19" s="726" t="str">
        <f>'Sam-Budynki-WSAD'!C19</f>
        <v>LPKIW</v>
      </c>
      <c r="D19" s="709">
        <f>AZ19*'Sam-Budynki-WSAD'!D19</f>
        <v>160536.37599999999</v>
      </c>
      <c r="E19" s="94">
        <f>AZ19*'Sam-Budynki-WSAD'!E19</f>
        <v>73719.193547999996</v>
      </c>
      <c r="F19" s="95">
        <f>D19*(HLOOKUP(Ogolne!$D$6,'Wskazniki emisji elektrycznosc'!$B$8:$G$29,Ogolne!$E$7,TRUE))/1000</f>
        <v>157.64672123199998</v>
      </c>
      <c r="G19" s="709">
        <f>$AZ19*'Sam-Budynki-WSAD'!H19</f>
        <v>0</v>
      </c>
      <c r="H19" s="94">
        <f>$AZ19*'Sam-Budynki-WSAD'!I19</f>
        <v>0</v>
      </c>
      <c r="I19" s="95">
        <f>G19*'Wskazniki emisji paliw'!M$26</f>
        <v>0</v>
      </c>
      <c r="J19" s="709">
        <f>$AZ19*'Sam-Budynki-WSAD'!L19</f>
        <v>0</v>
      </c>
      <c r="K19" s="94">
        <f>$AZ19*'Sam-Budynki-WSAD'!M19</f>
        <v>0</v>
      </c>
      <c r="L19" s="95">
        <f>J19*'Wskazniki emisji paliw'!M$27</f>
        <v>0</v>
      </c>
      <c r="M19" s="709">
        <f>$AZ19*'Sam-Budynki-WSAD'!O19</f>
        <v>4404.3999999999996</v>
      </c>
      <c r="N19" s="94">
        <f>$AZ19*'Sam-Budynki-WSAD'!P19</f>
        <v>0</v>
      </c>
      <c r="O19" s="95">
        <f>M19*'Wskazniki emisji paliw'!L$17</f>
        <v>12.201671798315999</v>
      </c>
      <c r="P19" s="709">
        <f>$AZ19*'Sam-Budynki-WSAD'!R19</f>
        <v>0</v>
      </c>
      <c r="Q19" s="94">
        <f>$AZ19*'Sam-Budynki-WSAD'!S19</f>
        <v>0</v>
      </c>
      <c r="R19" s="95">
        <f>P19*'Wskazniki emisji paliw'!L$18</f>
        <v>0</v>
      </c>
      <c r="S19" s="709">
        <f>$AZ19*'Sam-Budynki-WSAD'!U19</f>
        <v>0</v>
      </c>
      <c r="T19" s="94">
        <f>$AZ19*'Sam-Budynki-WSAD'!V19</f>
        <v>0</v>
      </c>
      <c r="U19" s="95">
        <f>S19*'Wskazniki emisji paliw'!N$10</f>
        <v>0</v>
      </c>
      <c r="V19" s="709">
        <f>$AZ19*'Sam-Budynki-WSAD'!X19</f>
        <v>0</v>
      </c>
      <c r="W19" s="94">
        <f>$AZ19*'Sam-Budynki-WSAD'!Y19</f>
        <v>0</v>
      </c>
      <c r="X19" s="95">
        <f>V19*'Wskazniki emisji paliw'!N$11</f>
        <v>0</v>
      </c>
      <c r="Y19" s="709">
        <f>$AZ19*'Sam-Budynki-WSAD'!AA19</f>
        <v>0</v>
      </c>
      <c r="Z19" s="94">
        <f>$AZ19*'Sam-Budynki-WSAD'!AB19</f>
        <v>0</v>
      </c>
      <c r="AA19" s="95">
        <f>Y19*'Wskazniki emisji paliw'!L$21</f>
        <v>0</v>
      </c>
      <c r="AB19" s="709">
        <f>$AZ19*'Sam-Budynki-WSAD'!AD19</f>
        <v>0</v>
      </c>
      <c r="AC19" s="94">
        <f>$AZ19*'Sam-Budynki-WSAD'!AE19</f>
        <v>0</v>
      </c>
      <c r="AD19" s="95">
        <f>AB19*'Wskazniki emisji paliw'!L$20</f>
        <v>0</v>
      </c>
      <c r="AE19" s="709">
        <f>$AZ19*'Sam-Budynki-WSAD'!AG19</f>
        <v>0</v>
      </c>
      <c r="AF19" s="94">
        <f>$AZ19*'Sam-Budynki-WSAD'!AH19</f>
        <v>0</v>
      </c>
      <c r="AG19" s="95">
        <f>AE19*'Wskazniki emisji paliw'!N$13</f>
        <v>0</v>
      </c>
      <c r="AH19" s="709">
        <f>$AZ19*'Sam-Budynki-WSAD'!AJ19</f>
        <v>158.71455599999999</v>
      </c>
      <c r="AI19" s="94">
        <f>$AZ19*'Sam-Budynki-WSAD'!AK19</f>
        <v>14939.780855999999</v>
      </c>
      <c r="AJ19" s="96">
        <f>AH19*'Wskazniki emisji paliw'!K$35</f>
        <v>51.423516143999997</v>
      </c>
      <c r="AK19" s="5"/>
      <c r="AL19" s="91" t="str">
        <f t="shared" si="0"/>
        <v>Leśny Park Kultury i Wypoczynku "Myślęcinek" Sp. z o.o.</v>
      </c>
      <c r="AM19" s="91" t="str">
        <f t="shared" si="1"/>
        <v>LPKIW</v>
      </c>
      <c r="AN19" s="97">
        <f>'Sam-Budynki-WSAD'!AQ19</f>
        <v>0</v>
      </c>
      <c r="AO19" s="97">
        <f>'Sam-Budynki-WSAD'!AR19</f>
        <v>0</v>
      </c>
      <c r="AP19" s="97">
        <f>'Sam-Budynki-WSAD'!AS19</f>
        <v>0</v>
      </c>
      <c r="AQ19" s="94">
        <f t="shared" si="2"/>
        <v>88658.974403999993</v>
      </c>
      <c r="AR19" s="95">
        <f t="shared" si="3"/>
        <v>221.27190917431597</v>
      </c>
      <c r="AS19" s="98" t="str">
        <f t="shared" si="4"/>
        <v/>
      </c>
      <c r="AT19" s="98" t="str">
        <f t="shared" si="5"/>
        <v/>
      </c>
      <c r="AU19" s="98" t="str">
        <f t="shared" si="6"/>
        <v/>
      </c>
      <c r="AV19" s="98" t="str">
        <f t="shared" si="7"/>
        <v/>
      </c>
      <c r="AW19" s="98" t="str">
        <f t="shared" si="8"/>
        <v/>
      </c>
      <c r="AX19" s="99" t="str">
        <f t="shared" si="9"/>
        <v/>
      </c>
      <c r="AY19" s="100" t="str">
        <f>'Sam-Budynki-WSAD'!BB19</f>
        <v>dane niekompletne</v>
      </c>
      <c r="AZ19" s="90">
        <v>0.40039999999999998</v>
      </c>
      <c r="BA19" s="90"/>
      <c r="BB19" s="90"/>
      <c r="BC19" s="90"/>
      <c r="BD19" s="90"/>
      <c r="BE19" s="90"/>
      <c r="BF19" s="90"/>
      <c r="BG19" s="90"/>
    </row>
    <row r="20" spans="1:59" s="101" customFormat="1" ht="22.5">
      <c r="A20" s="90"/>
      <c r="B20" s="713" t="str">
        <f>'Sam-Budynki-WSAD'!B20</f>
        <v xml:space="preserve">Bydgoski Klub Sportowy Chemik </v>
      </c>
      <c r="C20" s="726" t="str">
        <f>'Sam-Budynki-WSAD'!C20</f>
        <v>BKSC</v>
      </c>
      <c r="D20" s="709">
        <f>AZ20*'Sam-Budynki-WSAD'!D20</f>
        <v>215664</v>
      </c>
      <c r="E20" s="94">
        <f>AZ20*'Sam-Budynki-WSAD'!E20</f>
        <v>89314.96</v>
      </c>
      <c r="F20" s="95">
        <f>D20*(HLOOKUP(Ogolne!$D$6,'Wskazniki emisji elektrycznosc'!$B$8:$G$29,Ogolne!$E$7,TRUE))/1000</f>
        <v>211.782048</v>
      </c>
      <c r="G20" s="709">
        <f>$AZ20*'Sam-Budynki-WSAD'!H20</f>
        <v>0</v>
      </c>
      <c r="H20" s="94">
        <f>$AZ20*'Sam-Budynki-WSAD'!I20</f>
        <v>0</v>
      </c>
      <c r="I20" s="95">
        <f>G20*'Wskazniki emisji paliw'!M$26</f>
        <v>0</v>
      </c>
      <c r="J20" s="709">
        <f>$AZ20*'Sam-Budynki-WSAD'!L20</f>
        <v>0</v>
      </c>
      <c r="K20" s="94">
        <f>$AZ20*'Sam-Budynki-WSAD'!M20</f>
        <v>0</v>
      </c>
      <c r="L20" s="95">
        <f>J20*'Wskazniki emisji paliw'!M$27</f>
        <v>0</v>
      </c>
      <c r="M20" s="709">
        <f>$AZ20*'Sam-Budynki-WSAD'!O20</f>
        <v>0</v>
      </c>
      <c r="N20" s="94">
        <f>$AZ20*'Sam-Budynki-WSAD'!P20</f>
        <v>0</v>
      </c>
      <c r="O20" s="95">
        <f>M20*'Wskazniki emisji paliw'!L$17</f>
        <v>0</v>
      </c>
      <c r="P20" s="709">
        <f>$AZ20*'Sam-Budynki-WSAD'!R20</f>
        <v>0</v>
      </c>
      <c r="Q20" s="94">
        <f>$AZ20*'Sam-Budynki-WSAD'!S20</f>
        <v>0</v>
      </c>
      <c r="R20" s="95">
        <f>P20*'Wskazniki emisji paliw'!L$18</f>
        <v>0</v>
      </c>
      <c r="S20" s="709">
        <f>$AZ20*'Sam-Budynki-WSAD'!U20</f>
        <v>0</v>
      </c>
      <c r="T20" s="94">
        <f>$AZ20*'Sam-Budynki-WSAD'!V20</f>
        <v>0</v>
      </c>
      <c r="U20" s="95">
        <f>S20*'Wskazniki emisji paliw'!N$10</f>
        <v>0</v>
      </c>
      <c r="V20" s="709">
        <f>$AZ20*'Sam-Budynki-WSAD'!X20</f>
        <v>0</v>
      </c>
      <c r="W20" s="94">
        <f>$AZ20*'Sam-Budynki-WSAD'!Y20</f>
        <v>0</v>
      </c>
      <c r="X20" s="95">
        <f>V20*'Wskazniki emisji paliw'!N$11</f>
        <v>0</v>
      </c>
      <c r="Y20" s="709">
        <f>$AZ20*'Sam-Budynki-WSAD'!AA20</f>
        <v>0</v>
      </c>
      <c r="Z20" s="94">
        <f>$AZ20*'Sam-Budynki-WSAD'!AB20</f>
        <v>0</v>
      </c>
      <c r="AA20" s="95">
        <f>Y20*'Wskazniki emisji paliw'!L$21</f>
        <v>0</v>
      </c>
      <c r="AB20" s="709">
        <f>$AZ20*'Sam-Budynki-WSAD'!AD20</f>
        <v>0</v>
      </c>
      <c r="AC20" s="94">
        <f>$AZ20*'Sam-Budynki-WSAD'!AE20</f>
        <v>0</v>
      </c>
      <c r="AD20" s="95">
        <f>AB20*'Wskazniki emisji paliw'!L$20</f>
        <v>0</v>
      </c>
      <c r="AE20" s="709">
        <f>$AZ20*'Sam-Budynki-WSAD'!AG20</f>
        <v>0</v>
      </c>
      <c r="AF20" s="94">
        <f>$AZ20*'Sam-Budynki-WSAD'!AH20</f>
        <v>0</v>
      </c>
      <c r="AG20" s="95">
        <f>AE20*'Wskazniki emisji paliw'!N$13</f>
        <v>0</v>
      </c>
      <c r="AH20" s="709">
        <f>$AZ20*'Sam-Budynki-WSAD'!AJ20</f>
        <v>499</v>
      </c>
      <c r="AI20" s="94">
        <f>$AZ20*'Sam-Budynki-WSAD'!AK20</f>
        <v>100867</v>
      </c>
      <c r="AJ20" s="96">
        <f>AH20*'Wskazniki emisji paliw'!K$35</f>
        <v>161.67600000000002</v>
      </c>
      <c r="AK20" s="82"/>
      <c r="AL20" s="91" t="str">
        <f t="shared" si="0"/>
        <v xml:space="preserve">Bydgoski Klub Sportowy Chemik </v>
      </c>
      <c r="AM20" s="91" t="str">
        <f t="shared" si="1"/>
        <v>BKSC</v>
      </c>
      <c r="AN20" s="97">
        <f>'Sam-Budynki-WSAD'!AQ20</f>
        <v>17520</v>
      </c>
      <c r="AO20" s="97">
        <f>'Sam-Budynki-WSAD'!AR20</f>
        <v>998</v>
      </c>
      <c r="AP20" s="97">
        <f>'Sam-Budynki-WSAD'!AS20</f>
        <v>92662.5</v>
      </c>
      <c r="AQ20" s="94">
        <f t="shared" si="2"/>
        <v>190181.96000000002</v>
      </c>
      <c r="AR20" s="95">
        <f t="shared" si="3"/>
        <v>373.45804800000002</v>
      </c>
      <c r="AS20" s="98">
        <f t="shared" si="4"/>
        <v>10.855134703196349</v>
      </c>
      <c r="AT20" s="98">
        <f t="shared" si="5"/>
        <v>190.5630861723447</v>
      </c>
      <c r="AU20" s="98">
        <f t="shared" si="6"/>
        <v>2.0524155942263591</v>
      </c>
      <c r="AV20" s="98">
        <f t="shared" si="7"/>
        <v>2.1316098630136986E-2</v>
      </c>
      <c r="AW20" s="98">
        <f t="shared" si="8"/>
        <v>0.37420646092184373</v>
      </c>
      <c r="AX20" s="99">
        <f t="shared" si="9"/>
        <v>4.0303040388506677E-3</v>
      </c>
      <c r="AY20" s="100" t="str">
        <f>'Sam-Budynki-WSAD'!BB20</f>
        <v>budynek klubu wraz z halą oraz teren wokół budynku ze stadionem (nie dot. ogrzewania)</v>
      </c>
      <c r="AZ20" s="90">
        <v>1</v>
      </c>
      <c r="BA20" s="90"/>
      <c r="BB20" s="90"/>
      <c r="BC20" s="90"/>
      <c r="BD20" s="90"/>
      <c r="BE20" s="90"/>
      <c r="BF20" s="90"/>
      <c r="BG20" s="90"/>
    </row>
    <row r="21" spans="1:59" s="101" customFormat="1">
      <c r="A21" s="90"/>
      <c r="B21" s="713" t="str">
        <f>'Sam-Budynki-WSAD'!B21</f>
        <v>Miejska Pracownia Geodezyjna w Bydgoszczy</v>
      </c>
      <c r="C21" s="726" t="str">
        <f>'Sam-Budynki-WSAD'!C21</f>
        <v>MPG</v>
      </c>
      <c r="D21" s="709">
        <f>AZ21*'Sam-Budynki-WSAD'!D21</f>
        <v>0</v>
      </c>
      <c r="E21" s="94">
        <f>AZ21*'Sam-Budynki-WSAD'!E21</f>
        <v>0</v>
      </c>
      <c r="F21" s="95">
        <f>D21*(HLOOKUP(Ogolne!$D$6,'Wskazniki emisji elektrycznosc'!$B$8:$G$29,Ogolne!$E$7,TRUE))/1000</f>
        <v>0</v>
      </c>
      <c r="G21" s="709">
        <f>$AZ21*'Sam-Budynki-WSAD'!H21</f>
        <v>0</v>
      </c>
      <c r="H21" s="94">
        <f>$AZ21*'Sam-Budynki-WSAD'!I21</f>
        <v>0</v>
      </c>
      <c r="I21" s="95">
        <f>G21*'Wskazniki emisji paliw'!M$26</f>
        <v>0</v>
      </c>
      <c r="J21" s="709">
        <f>$AZ21*'Sam-Budynki-WSAD'!L21</f>
        <v>0</v>
      </c>
      <c r="K21" s="94">
        <f>$AZ21*'Sam-Budynki-WSAD'!M21</f>
        <v>0</v>
      </c>
      <c r="L21" s="95">
        <f>J21*'Wskazniki emisji paliw'!M$27</f>
        <v>0</v>
      </c>
      <c r="M21" s="709">
        <f>$AZ21*'Sam-Budynki-WSAD'!O21</f>
        <v>0</v>
      </c>
      <c r="N21" s="94">
        <f>$AZ21*'Sam-Budynki-WSAD'!P21</f>
        <v>0</v>
      </c>
      <c r="O21" s="95">
        <f>M21*'Wskazniki emisji paliw'!L$17</f>
        <v>0</v>
      </c>
      <c r="P21" s="709">
        <f>$AZ21*'Sam-Budynki-WSAD'!R21</f>
        <v>0</v>
      </c>
      <c r="Q21" s="94">
        <f>$AZ21*'Sam-Budynki-WSAD'!S21</f>
        <v>0</v>
      </c>
      <c r="R21" s="95">
        <f>P21*'Wskazniki emisji paliw'!L$18</f>
        <v>0</v>
      </c>
      <c r="S21" s="709">
        <f>$AZ21*'Sam-Budynki-WSAD'!U21</f>
        <v>0</v>
      </c>
      <c r="T21" s="94">
        <f>$AZ21*'Sam-Budynki-WSAD'!V21</f>
        <v>0</v>
      </c>
      <c r="U21" s="95">
        <f>S21*'Wskazniki emisji paliw'!N$10</f>
        <v>0</v>
      </c>
      <c r="V21" s="709">
        <f>$AZ21*'Sam-Budynki-WSAD'!X21</f>
        <v>0</v>
      </c>
      <c r="W21" s="94">
        <f>$AZ21*'Sam-Budynki-WSAD'!Y21</f>
        <v>0</v>
      </c>
      <c r="X21" s="95">
        <f>V21*'Wskazniki emisji paliw'!N$11</f>
        <v>0</v>
      </c>
      <c r="Y21" s="709">
        <f>$AZ21*'Sam-Budynki-WSAD'!AA21</f>
        <v>0</v>
      </c>
      <c r="Z21" s="94">
        <f>$AZ21*'Sam-Budynki-WSAD'!AB21</f>
        <v>0</v>
      </c>
      <c r="AA21" s="95">
        <f>Y21*'Wskazniki emisji paliw'!L$21</f>
        <v>0</v>
      </c>
      <c r="AB21" s="709">
        <f>$AZ21*'Sam-Budynki-WSAD'!AD21</f>
        <v>0</v>
      </c>
      <c r="AC21" s="94">
        <f>$AZ21*'Sam-Budynki-WSAD'!AE21</f>
        <v>0</v>
      </c>
      <c r="AD21" s="95">
        <f>AB21*'Wskazniki emisji paliw'!L$20</f>
        <v>0</v>
      </c>
      <c r="AE21" s="709">
        <f>$AZ21*'Sam-Budynki-WSAD'!AG21</f>
        <v>0</v>
      </c>
      <c r="AF21" s="94">
        <f>$AZ21*'Sam-Budynki-WSAD'!AH21</f>
        <v>0</v>
      </c>
      <c r="AG21" s="95">
        <f>AE21*'Wskazniki emisji paliw'!N$13</f>
        <v>0</v>
      </c>
      <c r="AH21" s="709">
        <f>$AZ21*'Sam-Budynki-WSAD'!AJ21</f>
        <v>0</v>
      </c>
      <c r="AI21" s="94">
        <f>$AZ21*'Sam-Budynki-WSAD'!AK21</f>
        <v>0</v>
      </c>
      <c r="AJ21" s="96">
        <f>AH21*'Wskazniki emisji paliw'!K$35</f>
        <v>0</v>
      </c>
      <c r="AK21" s="5"/>
      <c r="AL21" s="91" t="str">
        <f t="shared" si="0"/>
        <v>Miejska Pracownia Geodezyjna w Bydgoszczy</v>
      </c>
      <c r="AM21" s="91" t="str">
        <f t="shared" si="1"/>
        <v>MPG</v>
      </c>
      <c r="AN21" s="97">
        <f>'Sam-Budynki-WSAD'!AQ21</f>
        <v>0</v>
      </c>
      <c r="AO21" s="97">
        <f>'Sam-Budynki-WSAD'!AR21</f>
        <v>0</v>
      </c>
      <c r="AP21" s="97">
        <f>'Sam-Budynki-WSAD'!AS21</f>
        <v>0</v>
      </c>
      <c r="AQ21" s="94">
        <f t="shared" si="2"/>
        <v>0</v>
      </c>
      <c r="AR21" s="95">
        <f t="shared" si="3"/>
        <v>0</v>
      </c>
      <c r="AS21" s="98" t="str">
        <f t="shared" si="4"/>
        <v/>
      </c>
      <c r="AT21" s="98" t="str">
        <f t="shared" si="5"/>
        <v/>
      </c>
      <c r="AU21" s="98" t="str">
        <f t="shared" si="6"/>
        <v/>
      </c>
      <c r="AV21" s="98" t="str">
        <f t="shared" si="7"/>
        <v/>
      </c>
      <c r="AW21" s="98" t="str">
        <f t="shared" si="8"/>
        <v/>
      </c>
      <c r="AX21" s="99" t="str">
        <f t="shared" si="9"/>
        <v/>
      </c>
      <c r="AY21" s="100" t="str">
        <f>'Sam-Budynki-WSAD'!BB21</f>
        <v>brak danych o budynkach</v>
      </c>
      <c r="AZ21" s="90">
        <v>1</v>
      </c>
      <c r="BA21" s="90"/>
      <c r="BB21" s="90"/>
      <c r="BC21" s="90"/>
      <c r="BD21" s="90"/>
      <c r="BE21" s="90"/>
      <c r="BF21" s="90"/>
      <c r="BG21" s="90"/>
    </row>
    <row r="22" spans="1:59" s="101" customFormat="1">
      <c r="A22" s="90"/>
      <c r="B22" s="713" t="str">
        <f>'Sam-Budynki-WSAD'!B22</f>
        <v>Miejski Ośrodek Kultury w Bydgoszczy</v>
      </c>
      <c r="C22" s="726" t="str">
        <f>'Sam-Budynki-WSAD'!C22</f>
        <v>MOK</v>
      </c>
      <c r="D22" s="709">
        <f>AZ22*'Sam-Budynki-WSAD'!D22</f>
        <v>45608</v>
      </c>
      <c r="E22" s="94">
        <f>AZ22*'Sam-Budynki-WSAD'!E22</f>
        <v>19390.55</v>
      </c>
      <c r="F22" s="95">
        <f>D22*(HLOOKUP(Ogolne!$D$6,'Wskazniki emisji elektrycznosc'!$B$8:$G$29,Ogolne!$E$7,TRUE))/1000</f>
        <v>44.787056</v>
      </c>
      <c r="G22" s="709">
        <f>$AZ22*'Sam-Budynki-WSAD'!H22</f>
        <v>0</v>
      </c>
      <c r="H22" s="94">
        <f>$AZ22*'Sam-Budynki-WSAD'!I22</f>
        <v>0</v>
      </c>
      <c r="I22" s="95">
        <f>G22*'Wskazniki emisji paliw'!M$26</f>
        <v>0</v>
      </c>
      <c r="J22" s="709">
        <f>$AZ22*'Sam-Budynki-WSAD'!L22</f>
        <v>0</v>
      </c>
      <c r="K22" s="94">
        <f>$AZ22*'Sam-Budynki-WSAD'!M22</f>
        <v>0</v>
      </c>
      <c r="L22" s="95">
        <f>J22*'Wskazniki emisji paliw'!M$27</f>
        <v>0</v>
      </c>
      <c r="M22" s="709">
        <f>$AZ22*'Sam-Budynki-WSAD'!O22</f>
        <v>0</v>
      </c>
      <c r="N22" s="94">
        <f>$AZ22*'Sam-Budynki-WSAD'!P22</f>
        <v>0</v>
      </c>
      <c r="O22" s="95">
        <f>M22*'Wskazniki emisji paliw'!L$17</f>
        <v>0</v>
      </c>
      <c r="P22" s="709">
        <f>$AZ22*'Sam-Budynki-WSAD'!R22</f>
        <v>0</v>
      </c>
      <c r="Q22" s="94">
        <f>$AZ22*'Sam-Budynki-WSAD'!S22</f>
        <v>0</v>
      </c>
      <c r="R22" s="95">
        <f>P22*'Wskazniki emisji paliw'!L$18</f>
        <v>0</v>
      </c>
      <c r="S22" s="709">
        <f>$AZ22*'Sam-Budynki-WSAD'!U22</f>
        <v>0</v>
      </c>
      <c r="T22" s="94">
        <f>$AZ22*'Sam-Budynki-WSAD'!V22</f>
        <v>0</v>
      </c>
      <c r="U22" s="95">
        <f>S22*'Wskazniki emisji paliw'!N$10</f>
        <v>0</v>
      </c>
      <c r="V22" s="709">
        <f>$AZ22*'Sam-Budynki-WSAD'!X22</f>
        <v>0</v>
      </c>
      <c r="W22" s="94">
        <f>$AZ22*'Sam-Budynki-WSAD'!Y22</f>
        <v>0</v>
      </c>
      <c r="X22" s="95">
        <f>V22*'Wskazniki emisji paliw'!N$11</f>
        <v>0</v>
      </c>
      <c r="Y22" s="709">
        <f>$AZ22*'Sam-Budynki-WSAD'!AA22</f>
        <v>0</v>
      </c>
      <c r="Z22" s="94">
        <f>$AZ22*'Sam-Budynki-WSAD'!AB22</f>
        <v>0</v>
      </c>
      <c r="AA22" s="95">
        <f>Y22*'Wskazniki emisji paliw'!L$21</f>
        <v>0</v>
      </c>
      <c r="AB22" s="709">
        <f>$AZ22*'Sam-Budynki-WSAD'!AD22</f>
        <v>0</v>
      </c>
      <c r="AC22" s="94">
        <f>$AZ22*'Sam-Budynki-WSAD'!AE22</f>
        <v>0</v>
      </c>
      <c r="AD22" s="95">
        <f>AB22*'Wskazniki emisji paliw'!L$20</f>
        <v>0</v>
      </c>
      <c r="AE22" s="709">
        <f>$AZ22*'Sam-Budynki-WSAD'!AG22</f>
        <v>0</v>
      </c>
      <c r="AF22" s="94">
        <f>$AZ22*'Sam-Budynki-WSAD'!AH22</f>
        <v>0</v>
      </c>
      <c r="AG22" s="95">
        <f>AE22*'Wskazniki emisji paliw'!N$13</f>
        <v>0</v>
      </c>
      <c r="AH22" s="709">
        <f>$AZ22*'Sam-Budynki-WSAD'!AJ22</f>
        <v>121.94444444444444</v>
      </c>
      <c r="AI22" s="94">
        <f>$AZ22*'Sam-Budynki-WSAD'!AK22</f>
        <v>8223.67</v>
      </c>
      <c r="AJ22" s="96">
        <f>AH22*'Wskazniki emisji paliw'!K$35</f>
        <v>39.51</v>
      </c>
      <c r="AK22" s="5"/>
      <c r="AL22" s="91" t="str">
        <f t="shared" si="0"/>
        <v>Miejski Ośrodek Kultury w Bydgoszczy</v>
      </c>
      <c r="AM22" s="91" t="str">
        <f t="shared" si="1"/>
        <v>MOK</v>
      </c>
      <c r="AN22" s="97">
        <f>'Sam-Budynki-WSAD'!AQ22</f>
        <v>5840</v>
      </c>
      <c r="AO22" s="97">
        <f>'Sam-Budynki-WSAD'!AR22</f>
        <v>24</v>
      </c>
      <c r="AP22" s="97">
        <f>'Sam-Budynki-WSAD'!AS22</f>
        <v>732.93</v>
      </c>
      <c r="AQ22" s="94">
        <f t="shared" si="2"/>
        <v>27614.22</v>
      </c>
      <c r="AR22" s="95">
        <f t="shared" si="3"/>
        <v>84.297055999999998</v>
      </c>
      <c r="AS22" s="98">
        <f t="shared" si="4"/>
        <v>4.7284623287671232</v>
      </c>
      <c r="AT22" s="98">
        <f t="shared" si="5"/>
        <v>1150.5925</v>
      </c>
      <c r="AU22" s="98">
        <f t="shared" si="6"/>
        <v>37.676476607588725</v>
      </c>
      <c r="AV22" s="98">
        <f t="shared" si="7"/>
        <v>1.4434427397260273E-2</v>
      </c>
      <c r="AW22" s="98">
        <f t="shared" si="8"/>
        <v>3.5123773333333332</v>
      </c>
      <c r="AX22" s="99">
        <f t="shared" si="9"/>
        <v>0.11501378849276193</v>
      </c>
      <c r="AY22" s="100">
        <f>'Sam-Budynki-WSAD'!BB22</f>
        <v>0</v>
      </c>
      <c r="AZ22" s="90">
        <v>1</v>
      </c>
      <c r="BA22" s="90"/>
      <c r="BB22" s="90"/>
      <c r="BC22" s="90"/>
      <c r="BD22" s="90"/>
      <c r="BE22" s="90"/>
      <c r="BF22" s="90"/>
      <c r="BG22" s="90"/>
    </row>
    <row r="23" spans="1:59" s="101" customFormat="1">
      <c r="A23" s="90"/>
      <c r="B23" s="713" t="str">
        <f>'Sam-Budynki-WSAD'!B23</f>
        <v>Miejski Ośrodek Pomocy Społecznej - DPS i Domy Dziecka</v>
      </c>
      <c r="C23" s="726" t="str">
        <f>'Sam-Budynki-WSAD'!C23</f>
        <v>MOPS</v>
      </c>
      <c r="D23" s="709">
        <f>AZ23*'Sam-Budynki-WSAD'!D23</f>
        <v>129965</v>
      </c>
      <c r="E23" s="94">
        <f>AZ23*'Sam-Budynki-WSAD'!E23</f>
        <v>53579.71</v>
      </c>
      <c r="F23" s="95">
        <f>D23*(HLOOKUP(Ogolne!$D$6,'Wskazniki emisji elektrycznosc'!$B$8:$G$29,Ogolne!$E$7,TRUE))/1000</f>
        <v>127.62563</v>
      </c>
      <c r="G23" s="709">
        <f>$AZ23*'Sam-Budynki-WSAD'!H23</f>
        <v>47433</v>
      </c>
      <c r="H23" s="94">
        <f>$AZ23*'Sam-Budynki-WSAD'!I23</f>
        <v>57148.59</v>
      </c>
      <c r="I23" s="95">
        <f>G23*'Wskazniki emisji paliw'!M$26</f>
        <v>343.99832984880129</v>
      </c>
      <c r="J23" s="709">
        <f>$AZ23*'Sam-Budynki-WSAD'!L23</f>
        <v>0</v>
      </c>
      <c r="K23" s="94">
        <f>$AZ23*'Sam-Budynki-WSAD'!M23</f>
        <v>0</v>
      </c>
      <c r="L23" s="95">
        <f>J23*'Wskazniki emisji paliw'!M$27</f>
        <v>0</v>
      </c>
      <c r="M23" s="709">
        <f>$AZ23*'Sam-Budynki-WSAD'!O23</f>
        <v>0</v>
      </c>
      <c r="N23" s="94">
        <f>$AZ23*'Sam-Budynki-WSAD'!P23</f>
        <v>0</v>
      </c>
      <c r="O23" s="95">
        <f>M23*'Wskazniki emisji paliw'!L$17</f>
        <v>0</v>
      </c>
      <c r="P23" s="709">
        <f>$AZ23*'Sam-Budynki-WSAD'!R23</f>
        <v>0</v>
      </c>
      <c r="Q23" s="94">
        <f>$AZ23*'Sam-Budynki-WSAD'!S23</f>
        <v>0</v>
      </c>
      <c r="R23" s="95">
        <f>P23*'Wskazniki emisji paliw'!L$18</f>
        <v>0</v>
      </c>
      <c r="S23" s="709">
        <f>$AZ23*'Sam-Budynki-WSAD'!U23</f>
        <v>13.2</v>
      </c>
      <c r="T23" s="94">
        <f>$AZ23*'Sam-Budynki-WSAD'!V23</f>
        <v>3241</v>
      </c>
      <c r="U23" s="95">
        <f>S23*'Wskazniki emisji paliw'!N$10</f>
        <v>31.615583999999998</v>
      </c>
      <c r="V23" s="709">
        <f>$AZ23*'Sam-Budynki-WSAD'!X23</f>
        <v>0</v>
      </c>
      <c r="W23" s="94">
        <f>$AZ23*'Sam-Budynki-WSAD'!Y23</f>
        <v>0</v>
      </c>
      <c r="X23" s="95">
        <f>V23*'Wskazniki emisji paliw'!N$11</f>
        <v>0</v>
      </c>
      <c r="Y23" s="709">
        <f>$AZ23*'Sam-Budynki-WSAD'!AA23</f>
        <v>0</v>
      </c>
      <c r="Z23" s="94">
        <f>$AZ23*'Sam-Budynki-WSAD'!AB23</f>
        <v>0</v>
      </c>
      <c r="AA23" s="95">
        <f>Y23*'Wskazniki emisji paliw'!L$21</f>
        <v>0</v>
      </c>
      <c r="AB23" s="709">
        <f>$AZ23*'Sam-Budynki-WSAD'!AD23</f>
        <v>0</v>
      </c>
      <c r="AC23" s="94">
        <f>$AZ23*'Sam-Budynki-WSAD'!AE23</f>
        <v>0</v>
      </c>
      <c r="AD23" s="95">
        <f>AB23*'Wskazniki emisji paliw'!L$20</f>
        <v>0</v>
      </c>
      <c r="AE23" s="709">
        <f>$AZ23*'Sam-Budynki-WSAD'!AG23</f>
        <v>0</v>
      </c>
      <c r="AF23" s="94">
        <f>$AZ23*'Sam-Budynki-WSAD'!AH23</f>
        <v>0</v>
      </c>
      <c r="AG23" s="95">
        <f>AE23*'Wskazniki emisji paliw'!N$13</f>
        <v>0</v>
      </c>
      <c r="AH23" s="709">
        <f>$AZ23*'Sam-Budynki-WSAD'!AJ23</f>
        <v>1621</v>
      </c>
      <c r="AI23" s="94">
        <f>$AZ23*'Sam-Budynki-WSAD'!AK23</f>
        <v>309195</v>
      </c>
      <c r="AJ23" s="96">
        <f>AH23*'Wskazniki emisji paliw'!K$35</f>
        <v>525.20400000000006</v>
      </c>
      <c r="AK23" s="5"/>
      <c r="AL23" s="91" t="str">
        <f t="shared" si="0"/>
        <v>Miejski Ośrodek Pomocy Społecznej - DPS i Domy Dziecka</v>
      </c>
      <c r="AM23" s="91" t="str">
        <f t="shared" si="1"/>
        <v>MOPS</v>
      </c>
      <c r="AN23" s="97">
        <f>'Sam-Budynki-WSAD'!AQ23</f>
        <v>61320</v>
      </c>
      <c r="AO23" s="97">
        <f>'Sam-Budynki-WSAD'!AR23</f>
        <v>540</v>
      </c>
      <c r="AP23" s="97">
        <f>'Sam-Budynki-WSAD'!AS23</f>
        <v>12374.63</v>
      </c>
      <c r="AQ23" s="94">
        <f t="shared" si="2"/>
        <v>423164.3</v>
      </c>
      <c r="AR23" s="95">
        <f t="shared" si="3"/>
        <v>1028.4435438488013</v>
      </c>
      <c r="AS23" s="98">
        <f t="shared" si="4"/>
        <v>6.9009181343770383</v>
      </c>
      <c r="AT23" s="98">
        <f t="shared" si="5"/>
        <v>783.63759259259257</v>
      </c>
      <c r="AU23" s="98">
        <f t="shared" si="6"/>
        <v>34.196117378863043</v>
      </c>
      <c r="AV23" s="98">
        <f t="shared" si="7"/>
        <v>1.6771747290424025E-2</v>
      </c>
      <c r="AW23" s="98">
        <f t="shared" si="8"/>
        <v>1.9045250812014838</v>
      </c>
      <c r="AX23" s="99">
        <f t="shared" si="9"/>
        <v>8.310903387404725E-2</v>
      </c>
      <c r="AY23" s="100" t="str">
        <f>'Sam-Budynki-WSAD'!BB23</f>
        <v>brak danych dla niektórych jednostek w podgrupie</v>
      </c>
      <c r="AZ23" s="90">
        <v>1</v>
      </c>
      <c r="BA23" s="90"/>
      <c r="BB23" s="90"/>
      <c r="BC23" s="90"/>
      <c r="BD23" s="90"/>
      <c r="BE23" s="90"/>
      <c r="BF23" s="90"/>
      <c r="BG23" s="90"/>
    </row>
    <row r="24" spans="1:59" s="101" customFormat="1">
      <c r="A24" s="90"/>
      <c r="B24" s="713" t="str">
        <f>'Sam-Budynki-WSAD'!B24</f>
        <v>Miejski Ośrodek Pomocy Społecznej - MOPS ogólne</v>
      </c>
      <c r="C24" s="726" t="str">
        <f>'Sam-Budynki-WSAD'!C24</f>
        <v>MOPS</v>
      </c>
      <c r="D24" s="709">
        <f>AZ24*'Sam-Budynki-WSAD'!D24</f>
        <v>547961</v>
      </c>
      <c r="E24" s="94">
        <f>AZ24*'Sam-Budynki-WSAD'!E24</f>
        <v>213030.24</v>
      </c>
      <c r="F24" s="95">
        <f>D24*(HLOOKUP(Ogolne!$D$6,'Wskazniki emisji elektrycznosc'!$B$8:$G$29,Ogolne!$E$7,TRUE))/1000</f>
        <v>538.09770200000003</v>
      </c>
      <c r="G24" s="709">
        <f>$AZ24*'Sam-Budynki-WSAD'!H24</f>
        <v>0</v>
      </c>
      <c r="H24" s="94">
        <f>$AZ24*'Sam-Budynki-WSAD'!I24</f>
        <v>0</v>
      </c>
      <c r="I24" s="95">
        <f>G24*'Wskazniki emisji paliw'!M$26</f>
        <v>0</v>
      </c>
      <c r="J24" s="709">
        <f>$AZ24*'Sam-Budynki-WSAD'!L24</f>
        <v>0</v>
      </c>
      <c r="K24" s="94">
        <f>$AZ24*'Sam-Budynki-WSAD'!M24</f>
        <v>0</v>
      </c>
      <c r="L24" s="95">
        <f>J24*'Wskazniki emisji paliw'!M$27</f>
        <v>0</v>
      </c>
      <c r="M24" s="709">
        <f>$AZ24*'Sam-Budynki-WSAD'!O24</f>
        <v>20501</v>
      </c>
      <c r="N24" s="94">
        <f>$AZ24*'Sam-Budynki-WSAD'!P24</f>
        <v>41131.89</v>
      </c>
      <c r="O24" s="95">
        <f>M24*'Wskazniki emisji paliw'!L$17</f>
        <v>56.794676581889995</v>
      </c>
      <c r="P24" s="709">
        <f>$AZ24*'Sam-Budynki-WSAD'!R24</f>
        <v>0</v>
      </c>
      <c r="Q24" s="94">
        <f>$AZ24*'Sam-Budynki-WSAD'!S24</f>
        <v>0</v>
      </c>
      <c r="R24" s="95">
        <f>P24*'Wskazniki emisji paliw'!L$18</f>
        <v>0</v>
      </c>
      <c r="S24" s="709">
        <f>$AZ24*'Sam-Budynki-WSAD'!U24</f>
        <v>0</v>
      </c>
      <c r="T24" s="94">
        <f>$AZ24*'Sam-Budynki-WSAD'!V24</f>
        <v>0</v>
      </c>
      <c r="U24" s="95">
        <f>S24*'Wskazniki emisji paliw'!N$10</f>
        <v>0</v>
      </c>
      <c r="V24" s="709">
        <f>$AZ24*'Sam-Budynki-WSAD'!X24</f>
        <v>0</v>
      </c>
      <c r="W24" s="94">
        <f>$AZ24*'Sam-Budynki-WSAD'!Y24</f>
        <v>0</v>
      </c>
      <c r="X24" s="95">
        <f>V24*'Wskazniki emisji paliw'!N$11</f>
        <v>0</v>
      </c>
      <c r="Y24" s="709">
        <f>$AZ24*'Sam-Budynki-WSAD'!AA24</f>
        <v>0</v>
      </c>
      <c r="Z24" s="94">
        <f>$AZ24*'Sam-Budynki-WSAD'!AB24</f>
        <v>0</v>
      </c>
      <c r="AA24" s="95">
        <f>Y24*'Wskazniki emisji paliw'!L$21</f>
        <v>0</v>
      </c>
      <c r="AB24" s="709">
        <f>$AZ24*'Sam-Budynki-WSAD'!AD24</f>
        <v>0</v>
      </c>
      <c r="AC24" s="94">
        <f>$AZ24*'Sam-Budynki-WSAD'!AE24</f>
        <v>0</v>
      </c>
      <c r="AD24" s="95">
        <f>AB24*'Wskazniki emisji paliw'!L$20</f>
        <v>0</v>
      </c>
      <c r="AE24" s="709">
        <f>$AZ24*'Sam-Budynki-WSAD'!AG24</f>
        <v>0</v>
      </c>
      <c r="AF24" s="94">
        <f>$AZ24*'Sam-Budynki-WSAD'!AH24</f>
        <v>0</v>
      </c>
      <c r="AG24" s="95">
        <f>AE24*'Wskazniki emisji paliw'!N$13</f>
        <v>0</v>
      </c>
      <c r="AH24" s="709">
        <f>$AZ24*'Sam-Budynki-WSAD'!AJ24</f>
        <v>676</v>
      </c>
      <c r="AI24" s="94">
        <f>$AZ24*'Sam-Budynki-WSAD'!AK24</f>
        <v>164568.20000000001</v>
      </c>
      <c r="AJ24" s="96">
        <f>AH24*'Wskazniki emisji paliw'!K$35</f>
        <v>219.024</v>
      </c>
      <c r="AK24" s="5"/>
      <c r="AL24" s="91" t="str">
        <f t="shared" si="0"/>
        <v>Miejski Ośrodek Pomocy Społecznej - MOPS ogólne</v>
      </c>
      <c r="AM24" s="91" t="str">
        <f t="shared" si="1"/>
        <v>MOPS</v>
      </c>
      <c r="AN24" s="97">
        <f>'Sam-Budynki-WSAD'!AQ24</f>
        <v>12096</v>
      </c>
      <c r="AO24" s="97">
        <f>'Sam-Budynki-WSAD'!AR24</f>
        <v>373</v>
      </c>
      <c r="AP24" s="97">
        <f>'Sam-Budynki-WSAD'!AS24</f>
        <v>4510.8100000000004</v>
      </c>
      <c r="AQ24" s="94">
        <f t="shared" si="2"/>
        <v>418730.33</v>
      </c>
      <c r="AR24" s="95">
        <f t="shared" si="3"/>
        <v>813.91637858189006</v>
      </c>
      <c r="AS24" s="98">
        <f t="shared" si="4"/>
        <v>34.617256117724871</v>
      </c>
      <c r="AT24" s="98">
        <f t="shared" si="5"/>
        <v>1122.6014209115283</v>
      </c>
      <c r="AU24" s="98">
        <f t="shared" si="6"/>
        <v>92.828190502370973</v>
      </c>
      <c r="AV24" s="98">
        <f t="shared" si="7"/>
        <v>6.7288060398635094E-2</v>
      </c>
      <c r="AW24" s="98">
        <f t="shared" si="8"/>
        <v>2.1820814439192762</v>
      </c>
      <c r="AX24" s="99">
        <f t="shared" si="9"/>
        <v>0.18043685692412006</v>
      </c>
      <c r="AY24" s="100" t="str">
        <f>'Sam-Budynki-WSAD'!BB24</f>
        <v>brak danych dla niektórych jednostek w podgrupie</v>
      </c>
      <c r="AZ24" s="90">
        <v>1</v>
      </c>
      <c r="BA24" s="90"/>
      <c r="BB24" s="90"/>
      <c r="BC24" s="90"/>
      <c r="BD24" s="90"/>
      <c r="BE24" s="90"/>
      <c r="BF24" s="90"/>
      <c r="BG24" s="90"/>
    </row>
    <row r="25" spans="1:59" s="101" customFormat="1">
      <c r="A25" s="90"/>
      <c r="B25" s="713" t="str">
        <f>'Sam-Budynki-WSAD'!B25</f>
        <v>Miejski Ośrodek Pomocy Społecznej - ZPOW</v>
      </c>
      <c r="C25" s="726" t="str">
        <f>'Sam-Budynki-WSAD'!C25</f>
        <v>MOPS</v>
      </c>
      <c r="D25" s="709">
        <f>AZ25*'Sam-Budynki-WSAD'!D25</f>
        <v>162841</v>
      </c>
      <c r="E25" s="94">
        <f>AZ25*'Sam-Budynki-WSAD'!E25</f>
        <v>61677.97</v>
      </c>
      <c r="F25" s="95">
        <f>D25*(HLOOKUP(Ogolne!$D$6,'Wskazniki emisji elektrycznosc'!$B$8:$G$29,Ogolne!$E$7,TRUE))/1000</f>
        <v>159.909862</v>
      </c>
      <c r="G25" s="709">
        <f>$AZ25*'Sam-Budynki-WSAD'!H25</f>
        <v>694</v>
      </c>
      <c r="H25" s="94">
        <f>$AZ25*'Sam-Budynki-WSAD'!I25</f>
        <v>891.81</v>
      </c>
      <c r="I25" s="95">
        <f>G25*'Wskazniki emisji paliw'!M$26</f>
        <v>5.0330959651522802</v>
      </c>
      <c r="J25" s="709">
        <f>$AZ25*'Sam-Budynki-WSAD'!L25</f>
        <v>0</v>
      </c>
      <c r="K25" s="94">
        <f>$AZ25*'Sam-Budynki-WSAD'!M25</f>
        <v>0</v>
      </c>
      <c r="L25" s="95">
        <f>J25*'Wskazniki emisji paliw'!M$27</f>
        <v>0</v>
      </c>
      <c r="M25" s="709">
        <f>$AZ25*'Sam-Budynki-WSAD'!O25</f>
        <v>0</v>
      </c>
      <c r="N25" s="94">
        <f>$AZ25*'Sam-Budynki-WSAD'!P25</f>
        <v>0</v>
      </c>
      <c r="O25" s="95">
        <f>M25*'Wskazniki emisji paliw'!L$17</f>
        <v>0</v>
      </c>
      <c r="P25" s="709">
        <f>$AZ25*'Sam-Budynki-WSAD'!R25</f>
        <v>0</v>
      </c>
      <c r="Q25" s="94">
        <f>$AZ25*'Sam-Budynki-WSAD'!S25</f>
        <v>0</v>
      </c>
      <c r="R25" s="95">
        <f>P25*'Wskazniki emisji paliw'!L$18</f>
        <v>0</v>
      </c>
      <c r="S25" s="709">
        <f>$AZ25*'Sam-Budynki-WSAD'!U25</f>
        <v>0</v>
      </c>
      <c r="T25" s="94">
        <f>$AZ25*'Sam-Budynki-WSAD'!V25</f>
        <v>0</v>
      </c>
      <c r="U25" s="95">
        <f>S25*'Wskazniki emisji paliw'!N$10</f>
        <v>0</v>
      </c>
      <c r="V25" s="709">
        <f>$AZ25*'Sam-Budynki-WSAD'!X25</f>
        <v>0</v>
      </c>
      <c r="W25" s="94">
        <f>$AZ25*'Sam-Budynki-WSAD'!Y25</f>
        <v>0</v>
      </c>
      <c r="X25" s="95">
        <f>V25*'Wskazniki emisji paliw'!N$11</f>
        <v>0</v>
      </c>
      <c r="Y25" s="709">
        <f>$AZ25*'Sam-Budynki-WSAD'!AA25</f>
        <v>0</v>
      </c>
      <c r="Z25" s="94">
        <f>$AZ25*'Sam-Budynki-WSAD'!AB25</f>
        <v>0</v>
      </c>
      <c r="AA25" s="95">
        <f>Y25*'Wskazniki emisji paliw'!L$21</f>
        <v>0</v>
      </c>
      <c r="AB25" s="709">
        <f>$AZ25*'Sam-Budynki-WSAD'!AD25</f>
        <v>0</v>
      </c>
      <c r="AC25" s="94">
        <f>$AZ25*'Sam-Budynki-WSAD'!AE25</f>
        <v>0</v>
      </c>
      <c r="AD25" s="95">
        <f>AB25*'Wskazniki emisji paliw'!L$20</f>
        <v>0</v>
      </c>
      <c r="AE25" s="709">
        <f>$AZ25*'Sam-Budynki-WSAD'!AG25</f>
        <v>0</v>
      </c>
      <c r="AF25" s="94">
        <f>$AZ25*'Sam-Budynki-WSAD'!AH25</f>
        <v>0</v>
      </c>
      <c r="AG25" s="95">
        <f>AE25*'Wskazniki emisji paliw'!N$13</f>
        <v>0</v>
      </c>
      <c r="AH25" s="709">
        <f>$AZ25*'Sam-Budynki-WSAD'!AJ25</f>
        <v>590</v>
      </c>
      <c r="AI25" s="94">
        <f>$AZ25*'Sam-Budynki-WSAD'!AK25</f>
        <v>126640</v>
      </c>
      <c r="AJ25" s="96">
        <f>AH25*'Wskazniki emisji paliw'!K$35</f>
        <v>191.16</v>
      </c>
      <c r="AK25" s="5"/>
      <c r="AL25" s="91" t="str">
        <f t="shared" si="0"/>
        <v>Miejski Ośrodek Pomocy Społecznej - ZPOW</v>
      </c>
      <c r="AM25" s="91" t="str">
        <f t="shared" si="1"/>
        <v>MOPS</v>
      </c>
      <c r="AN25" s="97">
        <f>'Sam-Budynki-WSAD'!AQ25</f>
        <v>26316</v>
      </c>
      <c r="AO25" s="97">
        <f>'Sam-Budynki-WSAD'!AR25</f>
        <v>191</v>
      </c>
      <c r="AP25" s="97">
        <f>'Sam-Budynki-WSAD'!AS25</f>
        <v>3450</v>
      </c>
      <c r="AQ25" s="94">
        <f t="shared" si="2"/>
        <v>189209.78</v>
      </c>
      <c r="AR25" s="95">
        <f t="shared" si="3"/>
        <v>356.10295796515231</v>
      </c>
      <c r="AS25" s="98">
        <f t="shared" si="4"/>
        <v>7.1899141206870345</v>
      </c>
      <c r="AT25" s="98">
        <f t="shared" si="5"/>
        <v>990.62712041884811</v>
      </c>
      <c r="AU25" s="98">
        <f t="shared" si="6"/>
        <v>54.843414492753624</v>
      </c>
      <c r="AV25" s="98">
        <f t="shared" si="7"/>
        <v>1.3531804148242602E-2</v>
      </c>
      <c r="AW25" s="98">
        <f t="shared" si="8"/>
        <v>1.8644133924877084</v>
      </c>
      <c r="AX25" s="99">
        <f t="shared" si="9"/>
        <v>0.10321824868555139</v>
      </c>
      <c r="AY25" s="100" t="str">
        <f>'Sam-Budynki-WSAD'!BB25</f>
        <v>brak danych dla niektórych jednostek w podgrupie</v>
      </c>
      <c r="AZ25" s="90">
        <v>1</v>
      </c>
      <c r="BA25" s="90"/>
      <c r="BB25" s="90"/>
      <c r="BC25" s="90"/>
      <c r="BD25" s="90"/>
      <c r="BE25" s="90"/>
      <c r="BF25" s="90"/>
      <c r="BG25" s="90"/>
    </row>
    <row r="26" spans="1:59" s="101" customFormat="1">
      <c r="A26" s="90"/>
      <c r="B26" s="713" t="str">
        <f>'Sam-Budynki-WSAD'!B26</f>
        <v>Miejskie Wodociągi i Kanalizacja Sp. z o.o. - budynki administracyjno-techniczne</v>
      </c>
      <c r="C26" s="726" t="str">
        <f>'Sam-Budynki-WSAD'!C26</f>
        <v>MWIK</v>
      </c>
      <c r="D26" s="709">
        <f>AZ26*'Sam-Budynki-WSAD'!D26</f>
        <v>0</v>
      </c>
      <c r="E26" s="94">
        <f>AZ26*'Sam-Budynki-WSAD'!E26</f>
        <v>0</v>
      </c>
      <c r="F26" s="95">
        <f>D26*(HLOOKUP(Ogolne!$D$6,'Wskazniki emisji elektrycznosc'!$B$8:$G$29,Ogolne!$E$7,TRUE))/1000</f>
        <v>0</v>
      </c>
      <c r="G26" s="709">
        <f>$AZ26*'Sam-Budynki-WSAD'!H26</f>
        <v>0</v>
      </c>
      <c r="H26" s="94">
        <f>$AZ26*'Sam-Budynki-WSAD'!I26</f>
        <v>0</v>
      </c>
      <c r="I26" s="95">
        <f>G26*'Wskazniki emisji paliw'!M$26</f>
        <v>0</v>
      </c>
      <c r="J26" s="709">
        <f>$AZ26*'Sam-Budynki-WSAD'!L26</f>
        <v>0</v>
      </c>
      <c r="K26" s="94">
        <f>$AZ26*'Sam-Budynki-WSAD'!M26</f>
        <v>0</v>
      </c>
      <c r="L26" s="95">
        <f>J26*'Wskazniki emisji paliw'!M$27</f>
        <v>0</v>
      </c>
      <c r="M26" s="709">
        <f>$AZ26*'Sam-Budynki-WSAD'!O26</f>
        <v>0</v>
      </c>
      <c r="N26" s="94">
        <f>$AZ26*'Sam-Budynki-WSAD'!P26</f>
        <v>0</v>
      </c>
      <c r="O26" s="95">
        <f>M26*'Wskazniki emisji paliw'!L$17</f>
        <v>0</v>
      </c>
      <c r="P26" s="709">
        <f>$AZ26*'Sam-Budynki-WSAD'!R26</f>
        <v>0</v>
      </c>
      <c r="Q26" s="94">
        <f>$AZ26*'Sam-Budynki-WSAD'!S26</f>
        <v>0</v>
      </c>
      <c r="R26" s="95">
        <f>P26*'Wskazniki emisji paliw'!L$18</f>
        <v>0</v>
      </c>
      <c r="S26" s="709">
        <f>$AZ26*'Sam-Budynki-WSAD'!U26</f>
        <v>0</v>
      </c>
      <c r="T26" s="94">
        <f>$AZ26*'Sam-Budynki-WSAD'!V26</f>
        <v>0</v>
      </c>
      <c r="U26" s="95">
        <f>S26*'Wskazniki emisji paliw'!N$10</f>
        <v>0</v>
      </c>
      <c r="V26" s="709">
        <f>$AZ26*'Sam-Budynki-WSAD'!X26</f>
        <v>0</v>
      </c>
      <c r="W26" s="94">
        <f>$AZ26*'Sam-Budynki-WSAD'!Y26</f>
        <v>0</v>
      </c>
      <c r="X26" s="95">
        <f>V26*'Wskazniki emisji paliw'!N$11</f>
        <v>0</v>
      </c>
      <c r="Y26" s="709">
        <f>$AZ26*'Sam-Budynki-WSAD'!AA26</f>
        <v>0</v>
      </c>
      <c r="Z26" s="94">
        <f>$AZ26*'Sam-Budynki-WSAD'!AB26</f>
        <v>0</v>
      </c>
      <c r="AA26" s="95">
        <f>Y26*'Wskazniki emisji paliw'!L$21</f>
        <v>0</v>
      </c>
      <c r="AB26" s="709">
        <f>$AZ26*'Sam-Budynki-WSAD'!AD26</f>
        <v>0</v>
      </c>
      <c r="AC26" s="94">
        <f>$AZ26*'Sam-Budynki-WSAD'!AE26</f>
        <v>0</v>
      </c>
      <c r="AD26" s="95">
        <f>AB26*'Wskazniki emisji paliw'!L$20</f>
        <v>0</v>
      </c>
      <c r="AE26" s="709">
        <f>$AZ26*'Sam-Budynki-WSAD'!AG26</f>
        <v>0</v>
      </c>
      <c r="AF26" s="94">
        <f>$AZ26*'Sam-Budynki-WSAD'!AH26</f>
        <v>0</v>
      </c>
      <c r="AG26" s="95">
        <f>AE26*'Wskazniki emisji paliw'!N$13</f>
        <v>0</v>
      </c>
      <c r="AH26" s="709">
        <f>$AZ26*'Sam-Budynki-WSAD'!AJ26</f>
        <v>0</v>
      </c>
      <c r="AI26" s="94">
        <f>$AZ26*'Sam-Budynki-WSAD'!AK26</f>
        <v>0</v>
      </c>
      <c r="AJ26" s="96">
        <f>AH26*'Wskazniki emisji paliw'!K$35</f>
        <v>0</v>
      </c>
      <c r="AK26" s="5"/>
      <c r="AL26" s="91" t="str">
        <f t="shared" si="0"/>
        <v>Miejskie Wodociągi i Kanalizacja Sp. z o.o. - budynki administracyjno-techniczne</v>
      </c>
      <c r="AM26" s="91" t="str">
        <f t="shared" si="1"/>
        <v>MWIK</v>
      </c>
      <c r="AN26" s="97">
        <f>'Sam-Budynki-WSAD'!AQ26</f>
        <v>0</v>
      </c>
      <c r="AO26" s="97">
        <f>'Sam-Budynki-WSAD'!AR26</f>
        <v>0</v>
      </c>
      <c r="AP26" s="97">
        <f>'Sam-Budynki-WSAD'!AS26</f>
        <v>0</v>
      </c>
      <c r="AQ26" s="94">
        <f t="shared" si="2"/>
        <v>0</v>
      </c>
      <c r="AR26" s="95">
        <f t="shared" si="3"/>
        <v>0</v>
      </c>
      <c r="AS26" s="98" t="str">
        <f t="shared" si="4"/>
        <v/>
      </c>
      <c r="AT26" s="98" t="str">
        <f t="shared" si="5"/>
        <v/>
      </c>
      <c r="AU26" s="98" t="str">
        <f t="shared" si="6"/>
        <v/>
      </c>
      <c r="AV26" s="98" t="str">
        <f t="shared" si="7"/>
        <v/>
      </c>
      <c r="AW26" s="98" t="str">
        <f t="shared" si="8"/>
        <v/>
      </c>
      <c r="AX26" s="99" t="str">
        <f t="shared" si="9"/>
        <v/>
      </c>
      <c r="AY26" s="100" t="str">
        <f>'Sam-Budynki-WSAD'!BB26</f>
        <v>ujęte w water &amp; sewage</v>
      </c>
      <c r="AZ26" s="90">
        <v>1</v>
      </c>
      <c r="BA26" s="90"/>
      <c r="BB26" s="90"/>
      <c r="BC26" s="90"/>
      <c r="BD26" s="90"/>
      <c r="BE26" s="90"/>
      <c r="BF26" s="90"/>
      <c r="BG26" s="90"/>
    </row>
    <row r="27" spans="1:59" s="101" customFormat="1">
      <c r="A27" s="90"/>
      <c r="B27" s="713" t="str">
        <f>'Sam-Budynki-WSAD'!B27</f>
        <v>Miejskie Zakłady Komunikacyjne Sp. z o.o. w Bydgoszczy</v>
      </c>
      <c r="C27" s="726" t="str">
        <f>'Sam-Budynki-WSAD'!C27</f>
        <v>MZK</v>
      </c>
      <c r="D27" s="709">
        <f>AZ27*'Sam-Budynki-WSAD'!D27</f>
        <v>2503160</v>
      </c>
      <c r="E27" s="94">
        <f>AZ27*'Sam-Budynki-WSAD'!E27</f>
        <v>578555</v>
      </c>
      <c r="F27" s="95">
        <f>D27*(HLOOKUP(Ogolne!$D$6,'Wskazniki emisji elektrycznosc'!$B$8:$G$29,Ogolne!$E$7,TRUE))/1000</f>
        <v>2458.1031200000002</v>
      </c>
      <c r="G27" s="709">
        <f>$AZ27*'Sam-Budynki-WSAD'!H27</f>
        <v>0</v>
      </c>
      <c r="H27" s="94">
        <f>$AZ27*'Sam-Budynki-WSAD'!I27</f>
        <v>0</v>
      </c>
      <c r="I27" s="95">
        <f>G27*'Wskazniki emisji paliw'!M$26</f>
        <v>0</v>
      </c>
      <c r="J27" s="709">
        <f>$AZ27*'Sam-Budynki-WSAD'!L27</f>
        <v>0</v>
      </c>
      <c r="K27" s="94">
        <f>$AZ27*'Sam-Budynki-WSAD'!M27</f>
        <v>0</v>
      </c>
      <c r="L27" s="95">
        <f>J27*'Wskazniki emisji paliw'!M$27</f>
        <v>0</v>
      </c>
      <c r="M27" s="709">
        <f>$AZ27*'Sam-Budynki-WSAD'!O27</f>
        <v>0</v>
      </c>
      <c r="N27" s="94">
        <f>$AZ27*'Sam-Budynki-WSAD'!P27</f>
        <v>0</v>
      </c>
      <c r="O27" s="95">
        <f>M27*'Wskazniki emisji paliw'!L$17</f>
        <v>0</v>
      </c>
      <c r="P27" s="709">
        <f>$AZ27*'Sam-Budynki-WSAD'!R27</f>
        <v>0</v>
      </c>
      <c r="Q27" s="94">
        <f>$AZ27*'Sam-Budynki-WSAD'!S27</f>
        <v>0</v>
      </c>
      <c r="R27" s="95">
        <f>P27*'Wskazniki emisji paliw'!L$18</f>
        <v>0</v>
      </c>
      <c r="S27" s="709">
        <f>$AZ27*'Sam-Budynki-WSAD'!U27</f>
        <v>0</v>
      </c>
      <c r="T27" s="94">
        <f>$AZ27*'Sam-Budynki-WSAD'!V27</f>
        <v>0</v>
      </c>
      <c r="U27" s="95">
        <f>S27*'Wskazniki emisji paliw'!N$10</f>
        <v>0</v>
      </c>
      <c r="V27" s="709">
        <f>$AZ27*'Sam-Budynki-WSAD'!X27</f>
        <v>0</v>
      </c>
      <c r="W27" s="94">
        <f>$AZ27*'Sam-Budynki-WSAD'!Y27</f>
        <v>0</v>
      </c>
      <c r="X27" s="95">
        <f>V27*'Wskazniki emisji paliw'!N$11</f>
        <v>0</v>
      </c>
      <c r="Y27" s="709">
        <f>$AZ27*'Sam-Budynki-WSAD'!AA27</f>
        <v>0</v>
      </c>
      <c r="Z27" s="94">
        <f>$AZ27*'Sam-Budynki-WSAD'!AB27</f>
        <v>0</v>
      </c>
      <c r="AA27" s="95">
        <f>Y27*'Wskazniki emisji paliw'!L$21</f>
        <v>0</v>
      </c>
      <c r="AB27" s="709">
        <f>$AZ27*'Sam-Budynki-WSAD'!AD27</f>
        <v>0</v>
      </c>
      <c r="AC27" s="94">
        <f>$AZ27*'Sam-Budynki-WSAD'!AE27</f>
        <v>0</v>
      </c>
      <c r="AD27" s="95">
        <f>AB27*'Wskazniki emisji paliw'!L$20</f>
        <v>0</v>
      </c>
      <c r="AE27" s="709">
        <f>$AZ27*'Sam-Budynki-WSAD'!AG27</f>
        <v>0</v>
      </c>
      <c r="AF27" s="94">
        <f>$AZ27*'Sam-Budynki-WSAD'!AH27</f>
        <v>0</v>
      </c>
      <c r="AG27" s="95">
        <f>AE27*'Wskazniki emisji paliw'!N$13</f>
        <v>0</v>
      </c>
      <c r="AH27" s="709">
        <f>$AZ27*'Sam-Budynki-WSAD'!AJ27</f>
        <v>9793.6111111111113</v>
      </c>
      <c r="AI27" s="94">
        <f>$AZ27*'Sam-Budynki-WSAD'!AK27</f>
        <v>1591087.92</v>
      </c>
      <c r="AJ27" s="96">
        <f>AH27*'Wskazniki emisji paliw'!K$35</f>
        <v>3173.13</v>
      </c>
      <c r="AK27" s="5"/>
      <c r="AL27" s="91" t="str">
        <f t="shared" si="0"/>
        <v>Miejskie Zakłady Komunikacyjne Sp. z o.o. w Bydgoszczy</v>
      </c>
      <c r="AM27" s="91" t="str">
        <f t="shared" si="1"/>
        <v>MZK</v>
      </c>
      <c r="AN27" s="97">
        <f>'Sam-Budynki-WSAD'!AQ27</f>
        <v>33560</v>
      </c>
      <c r="AO27" s="97">
        <f>'Sam-Budynki-WSAD'!AR27</f>
        <v>626</v>
      </c>
      <c r="AP27" s="97">
        <f>'Sam-Budynki-WSAD'!AS27</f>
        <v>31476.720000000001</v>
      </c>
      <c r="AQ27" s="94">
        <f t="shared" si="2"/>
        <v>2169642.92</v>
      </c>
      <c r="AR27" s="95">
        <f t="shared" si="3"/>
        <v>5631.2331200000008</v>
      </c>
      <c r="AS27" s="98">
        <f t="shared" si="4"/>
        <v>64.649669845053637</v>
      </c>
      <c r="AT27" s="98">
        <f t="shared" si="5"/>
        <v>3465.8832587859424</v>
      </c>
      <c r="AU27" s="98">
        <f t="shared" si="6"/>
        <v>68.928494455584953</v>
      </c>
      <c r="AV27" s="98">
        <f t="shared" si="7"/>
        <v>0.16779598092967821</v>
      </c>
      <c r="AW27" s="98">
        <f t="shared" si="8"/>
        <v>8.9955800638977657</v>
      </c>
      <c r="AX27" s="99">
        <f t="shared" si="9"/>
        <v>0.17890152214080757</v>
      </c>
      <c r="AY27" s="100">
        <f>'Sam-Budynki-WSAD'!BB27</f>
        <v>0</v>
      </c>
      <c r="AZ27" s="90">
        <v>1</v>
      </c>
      <c r="BA27" s="90"/>
      <c r="BB27" s="90"/>
      <c r="BC27" s="90"/>
      <c r="BD27" s="90"/>
      <c r="BE27" s="90"/>
      <c r="BF27" s="90"/>
      <c r="BG27" s="90"/>
    </row>
    <row r="28" spans="1:59" s="101" customFormat="1">
      <c r="A28" s="90"/>
      <c r="B28" s="713" t="str">
        <f>'Sam-Budynki-WSAD'!B28</f>
        <v>Międzygminny Kompleks Unieszkodliwiania Odpadów ProNatura</v>
      </c>
      <c r="C28" s="726" t="str">
        <f>'Sam-Budynki-WSAD'!C28</f>
        <v>MKUO</v>
      </c>
      <c r="D28" s="709">
        <f>AZ28*'Sam-Budynki-WSAD'!D28</f>
        <v>0</v>
      </c>
      <c r="E28" s="94">
        <f>AZ28*'Sam-Budynki-WSAD'!E28</f>
        <v>0</v>
      </c>
      <c r="F28" s="95">
        <f>D28*(HLOOKUP(Ogolne!$D$6,'Wskazniki emisji elektrycznosc'!$B$8:$G$29,Ogolne!$E$7,TRUE))/1000</f>
        <v>0</v>
      </c>
      <c r="G28" s="709">
        <f>$AZ28*'Sam-Budynki-WSAD'!H28</f>
        <v>0</v>
      </c>
      <c r="H28" s="94">
        <f>$AZ28*'Sam-Budynki-WSAD'!I28</f>
        <v>0</v>
      </c>
      <c r="I28" s="95">
        <f>G28*'Wskazniki emisji paliw'!M$26</f>
        <v>0</v>
      </c>
      <c r="J28" s="709">
        <f>$AZ28*'Sam-Budynki-WSAD'!L28</f>
        <v>0</v>
      </c>
      <c r="K28" s="94">
        <f>$AZ28*'Sam-Budynki-WSAD'!M28</f>
        <v>0</v>
      </c>
      <c r="L28" s="95">
        <f>J28*'Wskazniki emisji paliw'!M$27</f>
        <v>0</v>
      </c>
      <c r="M28" s="709">
        <f>$AZ28*'Sam-Budynki-WSAD'!O28</f>
        <v>0</v>
      </c>
      <c r="N28" s="94">
        <f>$AZ28*'Sam-Budynki-WSAD'!P28</f>
        <v>0</v>
      </c>
      <c r="O28" s="95">
        <f>M28*'Wskazniki emisji paliw'!L$17</f>
        <v>0</v>
      </c>
      <c r="P28" s="709">
        <f>$AZ28*'Sam-Budynki-WSAD'!R28</f>
        <v>0</v>
      </c>
      <c r="Q28" s="94">
        <f>$AZ28*'Sam-Budynki-WSAD'!S28</f>
        <v>0</v>
      </c>
      <c r="R28" s="95">
        <f>P28*'Wskazniki emisji paliw'!L$18</f>
        <v>0</v>
      </c>
      <c r="S28" s="709">
        <f>$AZ28*'Sam-Budynki-WSAD'!U28</f>
        <v>0</v>
      </c>
      <c r="T28" s="94">
        <f>$AZ28*'Sam-Budynki-WSAD'!V28</f>
        <v>0</v>
      </c>
      <c r="U28" s="95">
        <f>S28*'Wskazniki emisji paliw'!N$10</f>
        <v>0</v>
      </c>
      <c r="V28" s="709">
        <f>$AZ28*'Sam-Budynki-WSAD'!X28</f>
        <v>0</v>
      </c>
      <c r="W28" s="94">
        <f>$AZ28*'Sam-Budynki-WSAD'!Y28</f>
        <v>0</v>
      </c>
      <c r="X28" s="95">
        <f>V28*'Wskazniki emisji paliw'!N$11</f>
        <v>0</v>
      </c>
      <c r="Y28" s="709">
        <f>$AZ28*'Sam-Budynki-WSAD'!AA28</f>
        <v>0</v>
      </c>
      <c r="Z28" s="94">
        <f>$AZ28*'Sam-Budynki-WSAD'!AB28</f>
        <v>0</v>
      </c>
      <c r="AA28" s="95">
        <f>Y28*'Wskazniki emisji paliw'!L$21</f>
        <v>0</v>
      </c>
      <c r="AB28" s="709">
        <f>$AZ28*'Sam-Budynki-WSAD'!AD28</f>
        <v>0</v>
      </c>
      <c r="AC28" s="94">
        <f>$AZ28*'Sam-Budynki-WSAD'!AE28</f>
        <v>0</v>
      </c>
      <c r="AD28" s="95">
        <f>AB28*'Wskazniki emisji paliw'!L$20</f>
        <v>0</v>
      </c>
      <c r="AE28" s="709">
        <f>$AZ28*'Sam-Budynki-WSAD'!AG28</f>
        <v>0</v>
      </c>
      <c r="AF28" s="94">
        <f>$AZ28*'Sam-Budynki-WSAD'!AH28</f>
        <v>0</v>
      </c>
      <c r="AG28" s="95">
        <f>AE28*'Wskazniki emisji paliw'!N$13</f>
        <v>0</v>
      </c>
      <c r="AH28" s="709">
        <f>$AZ28*'Sam-Budynki-WSAD'!AJ28</f>
        <v>0</v>
      </c>
      <c r="AI28" s="94">
        <f>$AZ28*'Sam-Budynki-WSAD'!AK28</f>
        <v>0</v>
      </c>
      <c r="AJ28" s="96">
        <f>AH28*'Wskazniki emisji paliw'!K$35</f>
        <v>0</v>
      </c>
      <c r="AK28" s="5"/>
      <c r="AL28" s="91" t="str">
        <f t="shared" si="0"/>
        <v>Międzygminny Kompleks Unieszkodliwiania Odpadów ProNatura</v>
      </c>
      <c r="AM28" s="91" t="str">
        <f t="shared" si="1"/>
        <v>MKUO</v>
      </c>
      <c r="AN28" s="97">
        <f>'Sam-Budynki-WSAD'!AQ28</f>
        <v>0</v>
      </c>
      <c r="AO28" s="97">
        <f>'Sam-Budynki-WSAD'!AR28</f>
        <v>0</v>
      </c>
      <c r="AP28" s="97">
        <f>'Sam-Budynki-WSAD'!AS28</f>
        <v>0</v>
      </c>
      <c r="AQ28" s="94">
        <f t="shared" si="2"/>
        <v>0</v>
      </c>
      <c r="AR28" s="95">
        <f t="shared" si="3"/>
        <v>0</v>
      </c>
      <c r="AS28" s="98" t="str">
        <f t="shared" si="4"/>
        <v/>
      </c>
      <c r="AT28" s="98" t="str">
        <f t="shared" si="5"/>
        <v/>
      </c>
      <c r="AU28" s="98" t="str">
        <f t="shared" si="6"/>
        <v/>
      </c>
      <c r="AV28" s="98" t="str">
        <f t="shared" si="7"/>
        <v/>
      </c>
      <c r="AW28" s="98" t="str">
        <f t="shared" si="8"/>
        <v/>
      </c>
      <c r="AX28" s="99" t="str">
        <f t="shared" si="9"/>
        <v/>
      </c>
      <c r="AY28" s="100" t="str">
        <f>'Sam-Budynki-WSAD'!BB28</f>
        <v>spółka istnieje od 2008 roku</v>
      </c>
      <c r="AZ28" s="90">
        <v>1</v>
      </c>
      <c r="BA28" s="90"/>
      <c r="BB28" s="90"/>
      <c r="BC28" s="90"/>
      <c r="BD28" s="90"/>
      <c r="BE28" s="90"/>
      <c r="BF28" s="90"/>
      <c r="BG28" s="90"/>
    </row>
    <row r="29" spans="1:59" s="101" customFormat="1" ht="22.5">
      <c r="A29" s="90"/>
      <c r="B29" s="713" t="str">
        <f>'Sam-Budynki-WSAD'!B29</f>
        <v>Muzeum Okręgowe im. Leona Wyczółkowskiego w Bydgoszczy</v>
      </c>
      <c r="C29" s="726" t="str">
        <f>'Sam-Budynki-WSAD'!C29</f>
        <v>MOLW</v>
      </c>
      <c r="D29" s="709">
        <f>AZ29*'Sam-Budynki-WSAD'!D29</f>
        <v>62136</v>
      </c>
      <c r="E29" s="94">
        <f>AZ29*'Sam-Budynki-WSAD'!E29</f>
        <v>25860</v>
      </c>
      <c r="F29" s="95">
        <f>D29*(HLOOKUP(Ogolne!$D$6,'Wskazniki emisji elektrycznosc'!$B$8:$G$29,Ogolne!$E$7,TRUE))/1000</f>
        <v>61.017551999999995</v>
      </c>
      <c r="G29" s="709">
        <f>$AZ29*'Sam-Budynki-WSAD'!H29</f>
        <v>0</v>
      </c>
      <c r="H29" s="94">
        <f>$AZ29*'Sam-Budynki-WSAD'!I29</f>
        <v>0</v>
      </c>
      <c r="I29" s="95">
        <f>G29*'Wskazniki emisji paliw'!M$26</f>
        <v>0</v>
      </c>
      <c r="J29" s="709">
        <f>$AZ29*'Sam-Budynki-WSAD'!L29</f>
        <v>0</v>
      </c>
      <c r="K29" s="94">
        <f>$AZ29*'Sam-Budynki-WSAD'!M29</f>
        <v>0</v>
      </c>
      <c r="L29" s="95">
        <f>J29*'Wskazniki emisji paliw'!M$27</f>
        <v>0</v>
      </c>
      <c r="M29" s="709">
        <f>$AZ29*'Sam-Budynki-WSAD'!O29</f>
        <v>0</v>
      </c>
      <c r="N29" s="94">
        <f>$AZ29*'Sam-Budynki-WSAD'!P29</f>
        <v>0</v>
      </c>
      <c r="O29" s="95">
        <f>M29*'Wskazniki emisji paliw'!L$17</f>
        <v>0</v>
      </c>
      <c r="P29" s="709">
        <f>$AZ29*'Sam-Budynki-WSAD'!R29</f>
        <v>0</v>
      </c>
      <c r="Q29" s="94">
        <f>$AZ29*'Sam-Budynki-WSAD'!S29</f>
        <v>0</v>
      </c>
      <c r="R29" s="95">
        <f>P29*'Wskazniki emisji paliw'!L$18</f>
        <v>0</v>
      </c>
      <c r="S29" s="709">
        <f>$AZ29*'Sam-Budynki-WSAD'!U29</f>
        <v>0</v>
      </c>
      <c r="T29" s="94">
        <f>$AZ29*'Sam-Budynki-WSAD'!V29</f>
        <v>0</v>
      </c>
      <c r="U29" s="95">
        <f>S29*'Wskazniki emisji paliw'!N$10</f>
        <v>0</v>
      </c>
      <c r="V29" s="709">
        <f>$AZ29*'Sam-Budynki-WSAD'!X29</f>
        <v>0</v>
      </c>
      <c r="W29" s="94">
        <f>$AZ29*'Sam-Budynki-WSAD'!Y29</f>
        <v>0</v>
      </c>
      <c r="X29" s="95">
        <f>V29*'Wskazniki emisji paliw'!N$11</f>
        <v>0</v>
      </c>
      <c r="Y29" s="709">
        <f>$AZ29*'Sam-Budynki-WSAD'!AA29</f>
        <v>0</v>
      </c>
      <c r="Z29" s="94">
        <f>$AZ29*'Sam-Budynki-WSAD'!AB29</f>
        <v>0</v>
      </c>
      <c r="AA29" s="95">
        <f>Y29*'Wskazniki emisji paliw'!L$21</f>
        <v>0</v>
      </c>
      <c r="AB29" s="709">
        <f>$AZ29*'Sam-Budynki-WSAD'!AD29</f>
        <v>0</v>
      </c>
      <c r="AC29" s="94">
        <f>$AZ29*'Sam-Budynki-WSAD'!AE29</f>
        <v>0</v>
      </c>
      <c r="AD29" s="95">
        <f>AB29*'Wskazniki emisji paliw'!L$20</f>
        <v>0</v>
      </c>
      <c r="AE29" s="709">
        <f>$AZ29*'Sam-Budynki-WSAD'!AG29</f>
        <v>0</v>
      </c>
      <c r="AF29" s="94">
        <f>$AZ29*'Sam-Budynki-WSAD'!AH29</f>
        <v>0</v>
      </c>
      <c r="AG29" s="95">
        <f>AE29*'Wskazniki emisji paliw'!N$13</f>
        <v>0</v>
      </c>
      <c r="AH29" s="709">
        <f>$AZ29*'Sam-Budynki-WSAD'!AJ29</f>
        <v>1240.83</v>
      </c>
      <c r="AI29" s="94">
        <f>$AZ29*'Sam-Budynki-WSAD'!AK29</f>
        <v>94087</v>
      </c>
      <c r="AJ29" s="96">
        <f>AH29*'Wskazniki emisji paliw'!K$35</f>
        <v>402.02891999999997</v>
      </c>
      <c r="AK29" s="5"/>
      <c r="AL29" s="91" t="str">
        <f t="shared" si="0"/>
        <v>Muzeum Okręgowe im. Leona Wyczółkowskiego w Bydgoszczy</v>
      </c>
      <c r="AM29" s="91" t="str">
        <f t="shared" si="1"/>
        <v>MOLW</v>
      </c>
      <c r="AN29" s="97">
        <f>'Sam-Budynki-WSAD'!AQ29</f>
        <v>4224</v>
      </c>
      <c r="AO29" s="97">
        <f>'Sam-Budynki-WSAD'!AR29</f>
        <v>50</v>
      </c>
      <c r="AP29" s="97">
        <f>'Sam-Budynki-WSAD'!AS29</f>
        <v>3838.75</v>
      </c>
      <c r="AQ29" s="94">
        <f t="shared" si="2"/>
        <v>119947</v>
      </c>
      <c r="AR29" s="95">
        <f t="shared" si="3"/>
        <v>463.04647199999999</v>
      </c>
      <c r="AS29" s="98">
        <f t="shared" si="4"/>
        <v>28.396543560606062</v>
      </c>
      <c r="AT29" s="98">
        <f t="shared" si="5"/>
        <v>2398.94</v>
      </c>
      <c r="AU29" s="98">
        <f t="shared" si="6"/>
        <v>31.246369260827091</v>
      </c>
      <c r="AV29" s="98">
        <f t="shared" si="7"/>
        <v>0.10962274431818182</v>
      </c>
      <c r="AW29" s="98">
        <f t="shared" si="8"/>
        <v>9.26092944</v>
      </c>
      <c r="AX29" s="99">
        <f t="shared" si="9"/>
        <v>0.12062428446760012</v>
      </c>
      <c r="AY29" s="100" t="str">
        <f>'Sam-Budynki-WSAD'!BB29</f>
        <v>budynek będzie udostępniony dla zwiedzających w 2010 roku</v>
      </c>
      <c r="AZ29" s="90">
        <v>1</v>
      </c>
      <c r="BA29" s="90"/>
      <c r="BB29" s="90"/>
      <c r="BC29" s="90"/>
      <c r="BD29" s="90"/>
      <c r="BE29" s="90"/>
      <c r="BF29" s="90"/>
      <c r="BG29" s="90"/>
    </row>
    <row r="30" spans="1:59" s="118" customFormat="1">
      <c r="A30" s="105"/>
      <c r="B30" s="732" t="str">
        <f>'Sam-Budynki-WSAD'!B30</f>
        <v>Port Lotniczy Bydgoszcz S.A.</v>
      </c>
      <c r="C30" s="733" t="str">
        <f>'Sam-Budynki-WSAD'!C30</f>
        <v>PLB</v>
      </c>
      <c r="D30" s="709">
        <f>AZ30*'Sam-Budynki-WSAD'!D30</f>
        <v>467647.36</v>
      </c>
      <c r="E30" s="94">
        <f>AZ30*'Sam-Budynki-WSAD'!E30</f>
        <v>137022.399232</v>
      </c>
      <c r="F30" s="95">
        <f>D30*(HLOOKUP(Ogolne!$D$6,'Wskazniki emisji elektrycznosc'!$B$8:$G$29,Ogolne!$E$7,TRUE))/1000</f>
        <v>459.22970751999998</v>
      </c>
      <c r="G30" s="709">
        <f>$AZ30*'Sam-Budynki-WSAD'!H30</f>
        <v>0</v>
      </c>
      <c r="H30" s="94">
        <f>$AZ30*'Sam-Budynki-WSAD'!I30</f>
        <v>0</v>
      </c>
      <c r="I30" s="95">
        <f>G30*'Wskazniki emisji paliw'!M$26</f>
        <v>0</v>
      </c>
      <c r="J30" s="709">
        <f>$AZ30*'Sam-Budynki-WSAD'!L30</f>
        <v>0</v>
      </c>
      <c r="K30" s="94">
        <f>$AZ30*'Sam-Budynki-WSAD'!M30</f>
        <v>0</v>
      </c>
      <c r="L30" s="95">
        <f>J30*'Wskazniki emisji paliw'!M$27</f>
        <v>0</v>
      </c>
      <c r="M30" s="709">
        <f>$AZ30*'Sam-Budynki-WSAD'!O30</f>
        <v>9646.3104000000003</v>
      </c>
      <c r="N30" s="94">
        <f>$AZ30*'Sam-Budynki-WSAD'!P30</f>
        <v>21596.776832</v>
      </c>
      <c r="O30" s="95">
        <f>M30*'Wskazniki emisji paliw'!L$17</f>
        <v>26.723529553510655</v>
      </c>
      <c r="P30" s="709">
        <f>$AZ30*'Sam-Budynki-WSAD'!R30</f>
        <v>0</v>
      </c>
      <c r="Q30" s="94">
        <f>$AZ30*'Sam-Budynki-WSAD'!S30</f>
        <v>0</v>
      </c>
      <c r="R30" s="95">
        <f>P30*'Wskazniki emisji paliw'!L$18</f>
        <v>0</v>
      </c>
      <c r="S30" s="709">
        <f>$AZ30*'Sam-Budynki-WSAD'!U30</f>
        <v>0</v>
      </c>
      <c r="T30" s="94">
        <f>$AZ30*'Sam-Budynki-WSAD'!V30</f>
        <v>0</v>
      </c>
      <c r="U30" s="95">
        <f>S30*'Wskazniki emisji paliw'!N$10</f>
        <v>0</v>
      </c>
      <c r="V30" s="709">
        <f>$AZ30*'Sam-Budynki-WSAD'!X30</f>
        <v>0</v>
      </c>
      <c r="W30" s="94">
        <f>$AZ30*'Sam-Budynki-WSAD'!Y30</f>
        <v>0</v>
      </c>
      <c r="X30" s="95">
        <f>V30*'Wskazniki emisji paliw'!N$11</f>
        <v>0</v>
      </c>
      <c r="Y30" s="709">
        <f>$AZ30*'Sam-Budynki-WSAD'!AA30</f>
        <v>0</v>
      </c>
      <c r="Z30" s="94">
        <f>$AZ30*'Sam-Budynki-WSAD'!AB30</f>
        <v>0</v>
      </c>
      <c r="AA30" s="95">
        <f>Y30*'Wskazniki emisji paliw'!L$21</f>
        <v>0</v>
      </c>
      <c r="AB30" s="709">
        <f>$AZ30*'Sam-Budynki-WSAD'!AD30</f>
        <v>0</v>
      </c>
      <c r="AC30" s="94">
        <f>$AZ30*'Sam-Budynki-WSAD'!AE30</f>
        <v>0</v>
      </c>
      <c r="AD30" s="95">
        <f>AB30*'Wskazniki emisji paliw'!L$20</f>
        <v>0</v>
      </c>
      <c r="AE30" s="709">
        <f>$AZ30*'Sam-Budynki-WSAD'!AG30</f>
        <v>0</v>
      </c>
      <c r="AF30" s="94">
        <f>$AZ30*'Sam-Budynki-WSAD'!AH30</f>
        <v>0</v>
      </c>
      <c r="AG30" s="95">
        <f>AE30*'Wskazniki emisji paliw'!N$13</f>
        <v>0</v>
      </c>
      <c r="AH30" s="709">
        <f>$AZ30*'Sam-Budynki-WSAD'!AJ30</f>
        <v>129.64977777777776</v>
      </c>
      <c r="AI30" s="94">
        <f>$AZ30*'Sam-Budynki-WSAD'!AK30</f>
        <v>15775.652864</v>
      </c>
      <c r="AJ30" s="96">
        <f>AH30*'Wskazniki emisji paliw'!K$35</f>
        <v>42.006527999999996</v>
      </c>
      <c r="AK30" s="5"/>
      <c r="AL30" s="734" t="str">
        <f t="shared" si="0"/>
        <v>Port Lotniczy Bydgoszcz S.A.</v>
      </c>
      <c r="AM30" s="734" t="str">
        <f t="shared" si="1"/>
        <v>PLB</v>
      </c>
      <c r="AN30" s="97">
        <f>'Sam-Budynki-WSAD'!AQ30</f>
        <v>39420</v>
      </c>
      <c r="AO30" s="97">
        <f>'Sam-Budynki-WSAD'!AR30</f>
        <v>134</v>
      </c>
      <c r="AP30" s="97">
        <f>'Sam-Budynki-WSAD'!AS30</f>
        <v>8207</v>
      </c>
      <c r="AQ30" s="94">
        <f t="shared" si="2"/>
        <v>174394.828928</v>
      </c>
      <c r="AR30" s="95">
        <f t="shared" si="3"/>
        <v>527.95976507351065</v>
      </c>
      <c r="AS30" s="98">
        <f t="shared" si="4"/>
        <v>4.4240189986808724</v>
      </c>
      <c r="AT30" s="98">
        <f t="shared" si="5"/>
        <v>1301.4539472238805</v>
      </c>
      <c r="AU30" s="98">
        <f t="shared" si="6"/>
        <v>21.249522228341661</v>
      </c>
      <c r="AV30" s="98">
        <f t="shared" si="7"/>
        <v>1.3393195461022593E-2</v>
      </c>
      <c r="AW30" s="98">
        <f t="shared" si="8"/>
        <v>3.9399982468172436</v>
      </c>
      <c r="AX30" s="99">
        <f t="shared" si="9"/>
        <v>6.4330420991045523E-2</v>
      </c>
      <c r="AY30" s="100">
        <f>'Sam-Budynki-WSAD'!BB30</f>
        <v>0</v>
      </c>
      <c r="AZ30" s="90">
        <v>0.5504</v>
      </c>
      <c r="BA30" s="90"/>
      <c r="BB30" s="90"/>
      <c r="BC30" s="90"/>
      <c r="BD30" s="105"/>
      <c r="BE30" s="105"/>
      <c r="BF30" s="105"/>
      <c r="BG30" s="105"/>
    </row>
    <row r="31" spans="1:59" s="118" customFormat="1">
      <c r="A31" s="105"/>
      <c r="B31" s="713" t="str">
        <f>'Sam-Budynki-WSAD'!B31</f>
        <v>Powiatowy Urząd Pracy w Bydgoszczy</v>
      </c>
      <c r="C31" s="726" t="str">
        <f>'Sam-Budynki-WSAD'!C31</f>
        <v>PUP</v>
      </c>
      <c r="D31" s="709">
        <f>AZ31*'Sam-Budynki-WSAD'!D31</f>
        <v>91920</v>
      </c>
      <c r="E31" s="94">
        <f>AZ31*'Sam-Budynki-WSAD'!E31</f>
        <v>33069.919999999998</v>
      </c>
      <c r="F31" s="95">
        <f>D31*(HLOOKUP(Ogolne!$D$6,'Wskazniki emisji elektrycznosc'!$B$8:$G$29,Ogolne!$E$7,TRUE))/1000</f>
        <v>90.265439999999998</v>
      </c>
      <c r="G31" s="709">
        <f>$AZ31*'Sam-Budynki-WSAD'!H31</f>
        <v>0</v>
      </c>
      <c r="H31" s="94">
        <f>$AZ31*'Sam-Budynki-WSAD'!I31</f>
        <v>0</v>
      </c>
      <c r="I31" s="95">
        <f>G31*'Wskazniki emisji paliw'!M$26</f>
        <v>0</v>
      </c>
      <c r="J31" s="709">
        <f>$AZ31*'Sam-Budynki-WSAD'!L31</f>
        <v>0</v>
      </c>
      <c r="K31" s="94">
        <f>$AZ31*'Sam-Budynki-WSAD'!M31</f>
        <v>0</v>
      </c>
      <c r="L31" s="95">
        <f>J31*'Wskazniki emisji paliw'!M$27</f>
        <v>0</v>
      </c>
      <c r="M31" s="709">
        <f>$AZ31*'Sam-Budynki-WSAD'!O31</f>
        <v>0</v>
      </c>
      <c r="N31" s="94">
        <f>$AZ31*'Sam-Budynki-WSAD'!P31</f>
        <v>0</v>
      </c>
      <c r="O31" s="95">
        <f>M31*'Wskazniki emisji paliw'!L$17</f>
        <v>0</v>
      </c>
      <c r="P31" s="709">
        <f>$AZ31*'Sam-Budynki-WSAD'!R31</f>
        <v>0</v>
      </c>
      <c r="Q31" s="94">
        <f>$AZ31*'Sam-Budynki-WSAD'!S31</f>
        <v>0</v>
      </c>
      <c r="R31" s="95">
        <f>P31*'Wskazniki emisji paliw'!L$18</f>
        <v>0</v>
      </c>
      <c r="S31" s="709">
        <f>$AZ31*'Sam-Budynki-WSAD'!U31</f>
        <v>0</v>
      </c>
      <c r="T31" s="94">
        <f>$AZ31*'Sam-Budynki-WSAD'!V31</f>
        <v>0</v>
      </c>
      <c r="U31" s="95">
        <f>S31*'Wskazniki emisji paliw'!N$10</f>
        <v>0</v>
      </c>
      <c r="V31" s="709">
        <f>$AZ31*'Sam-Budynki-WSAD'!X31</f>
        <v>0</v>
      </c>
      <c r="W31" s="94">
        <f>$AZ31*'Sam-Budynki-WSAD'!Y31</f>
        <v>0</v>
      </c>
      <c r="X31" s="95">
        <f>V31*'Wskazniki emisji paliw'!N$11</f>
        <v>0</v>
      </c>
      <c r="Y31" s="709">
        <f>$AZ31*'Sam-Budynki-WSAD'!AA31</f>
        <v>0</v>
      </c>
      <c r="Z31" s="94">
        <f>$AZ31*'Sam-Budynki-WSAD'!AB31</f>
        <v>0</v>
      </c>
      <c r="AA31" s="95">
        <f>Y31*'Wskazniki emisji paliw'!L$21</f>
        <v>0</v>
      </c>
      <c r="AB31" s="709">
        <f>$AZ31*'Sam-Budynki-WSAD'!AD31</f>
        <v>0</v>
      </c>
      <c r="AC31" s="94">
        <f>$AZ31*'Sam-Budynki-WSAD'!AE31</f>
        <v>0</v>
      </c>
      <c r="AD31" s="95">
        <f>AB31*'Wskazniki emisji paliw'!L$20</f>
        <v>0</v>
      </c>
      <c r="AE31" s="709">
        <f>$AZ31*'Sam-Budynki-WSAD'!AG31</f>
        <v>0</v>
      </c>
      <c r="AF31" s="94">
        <f>$AZ31*'Sam-Budynki-WSAD'!AH31</f>
        <v>0</v>
      </c>
      <c r="AG31" s="95">
        <f>AE31*'Wskazniki emisji paliw'!N$13</f>
        <v>0</v>
      </c>
      <c r="AH31" s="709">
        <f>$AZ31*'Sam-Budynki-WSAD'!AJ31</f>
        <v>474.44444444444446</v>
      </c>
      <c r="AI31" s="94">
        <f>$AZ31*'Sam-Budynki-WSAD'!AK31</f>
        <v>69302.820000000007</v>
      </c>
      <c r="AJ31" s="96">
        <f>AH31*'Wskazniki emisji paliw'!K$35</f>
        <v>153.72</v>
      </c>
      <c r="AK31" s="5"/>
      <c r="AL31" s="91" t="str">
        <f t="shared" si="0"/>
        <v>Powiatowy Urząd Pracy w Bydgoszczy</v>
      </c>
      <c r="AM31" s="91" t="str">
        <f t="shared" si="1"/>
        <v>PUP</v>
      </c>
      <c r="AN31" s="97">
        <f>'Sam-Budynki-WSAD'!AQ31</f>
        <v>2024</v>
      </c>
      <c r="AO31" s="97">
        <f>'Sam-Budynki-WSAD'!AR31</f>
        <v>611</v>
      </c>
      <c r="AP31" s="97">
        <f>'Sam-Budynki-WSAD'!AS31</f>
        <v>2446</v>
      </c>
      <c r="AQ31" s="94">
        <f t="shared" si="2"/>
        <v>102372.74</v>
      </c>
      <c r="AR31" s="95">
        <f t="shared" si="3"/>
        <v>243.98543999999998</v>
      </c>
      <c r="AS31" s="98">
        <f t="shared" si="4"/>
        <v>50.579416996047435</v>
      </c>
      <c r="AT31" s="98">
        <f t="shared" si="5"/>
        <v>167.54949263502456</v>
      </c>
      <c r="AU31" s="98">
        <f t="shared" si="6"/>
        <v>41.853123466884711</v>
      </c>
      <c r="AV31" s="98">
        <f t="shared" si="7"/>
        <v>0.12054616600790513</v>
      </c>
      <c r="AW31" s="98">
        <f t="shared" si="8"/>
        <v>0.39932150572831421</v>
      </c>
      <c r="AX31" s="99">
        <f t="shared" si="9"/>
        <v>9.974874897792313E-2</v>
      </c>
      <c r="AY31" s="100">
        <f>'Sam-Budynki-WSAD'!BB31</f>
        <v>0</v>
      </c>
      <c r="AZ31" s="90">
        <v>1</v>
      </c>
      <c r="BA31" s="90"/>
      <c r="BB31" s="90"/>
      <c r="BC31" s="90"/>
    </row>
    <row r="32" spans="1:59" ht="15.75" customHeight="1">
      <c r="A32" s="5"/>
      <c r="B32" s="713" t="str">
        <f>'Sam-Budynki-WSAD'!B32</f>
        <v>Schronisko dla Zwierząt w Bydgoszczy</v>
      </c>
      <c r="C32" s="726" t="str">
        <f>'Sam-Budynki-WSAD'!C32</f>
        <v>SZ</v>
      </c>
      <c r="D32" s="709">
        <f>AZ32*'Sam-Budynki-WSAD'!D32</f>
        <v>63820</v>
      </c>
      <c r="E32" s="94">
        <f>AZ32*'Sam-Budynki-WSAD'!E32</f>
        <v>22533.8</v>
      </c>
      <c r="F32" s="95">
        <f>D32*(HLOOKUP(Ogolne!$D$6,'Wskazniki emisji elektrycznosc'!$B$8:$G$29,Ogolne!$E$7,TRUE))/1000</f>
        <v>62.671239999999997</v>
      </c>
      <c r="G32" s="709">
        <f>$AZ32*'Sam-Budynki-WSAD'!H32</f>
        <v>0</v>
      </c>
      <c r="H32" s="94">
        <f>$AZ32*'Sam-Budynki-WSAD'!I32</f>
        <v>0</v>
      </c>
      <c r="I32" s="95">
        <f>G32*'Wskazniki emisji paliw'!M$26</f>
        <v>0</v>
      </c>
      <c r="J32" s="709">
        <f>$AZ32*'Sam-Budynki-WSAD'!L32</f>
        <v>0</v>
      </c>
      <c r="K32" s="94">
        <f>$AZ32*'Sam-Budynki-WSAD'!M32</f>
        <v>0</v>
      </c>
      <c r="L32" s="95">
        <f>J32*'Wskazniki emisji paliw'!M$27</f>
        <v>0</v>
      </c>
      <c r="M32" s="709">
        <f>$AZ32*'Sam-Budynki-WSAD'!O32</f>
        <v>0</v>
      </c>
      <c r="N32" s="94">
        <f>$AZ32*'Sam-Budynki-WSAD'!P32</f>
        <v>0</v>
      </c>
      <c r="O32" s="95">
        <f>M32*'Wskazniki emisji paliw'!L$17</f>
        <v>0</v>
      </c>
      <c r="P32" s="709">
        <f>$AZ32*'Sam-Budynki-WSAD'!R32</f>
        <v>0</v>
      </c>
      <c r="Q32" s="94">
        <f>$AZ32*'Sam-Budynki-WSAD'!S32</f>
        <v>0</v>
      </c>
      <c r="R32" s="95">
        <f>P32*'Wskazniki emisji paliw'!L$18</f>
        <v>0</v>
      </c>
      <c r="S32" s="709">
        <f>$AZ32*'Sam-Budynki-WSAD'!U32</f>
        <v>0</v>
      </c>
      <c r="T32" s="94">
        <f>$AZ32*'Sam-Budynki-WSAD'!V32</f>
        <v>0</v>
      </c>
      <c r="U32" s="95">
        <f>S32*'Wskazniki emisji paliw'!N$10</f>
        <v>0</v>
      </c>
      <c r="V32" s="709">
        <f>$AZ32*'Sam-Budynki-WSAD'!X32</f>
        <v>0</v>
      </c>
      <c r="W32" s="94">
        <f>$AZ32*'Sam-Budynki-WSAD'!Y32</f>
        <v>0</v>
      </c>
      <c r="X32" s="95">
        <f>V32*'Wskazniki emisji paliw'!N$11</f>
        <v>0</v>
      </c>
      <c r="Y32" s="709">
        <f>$AZ32*'Sam-Budynki-WSAD'!AA32</f>
        <v>0</v>
      </c>
      <c r="Z32" s="94">
        <f>$AZ32*'Sam-Budynki-WSAD'!AB32</f>
        <v>0</v>
      </c>
      <c r="AA32" s="95">
        <f>Y32*'Wskazniki emisji paliw'!L$21</f>
        <v>0</v>
      </c>
      <c r="AB32" s="709">
        <f>$AZ32*'Sam-Budynki-WSAD'!AD32</f>
        <v>0</v>
      </c>
      <c r="AC32" s="94">
        <f>$AZ32*'Sam-Budynki-WSAD'!AE32</f>
        <v>0</v>
      </c>
      <c r="AD32" s="95">
        <f>AB32*'Wskazniki emisji paliw'!L$20</f>
        <v>0</v>
      </c>
      <c r="AE32" s="709">
        <f>$AZ32*'Sam-Budynki-WSAD'!AG32</f>
        <v>0</v>
      </c>
      <c r="AF32" s="94">
        <f>$AZ32*'Sam-Budynki-WSAD'!AH32</f>
        <v>0</v>
      </c>
      <c r="AG32" s="95">
        <f>AE32*'Wskazniki emisji paliw'!N$13</f>
        <v>0</v>
      </c>
      <c r="AH32" s="709">
        <f>$AZ32*'Sam-Budynki-WSAD'!AJ32</f>
        <v>89.722222222222214</v>
      </c>
      <c r="AI32" s="94">
        <f>$AZ32*'Sam-Budynki-WSAD'!AK32</f>
        <v>14576.89</v>
      </c>
      <c r="AJ32" s="96">
        <f>AH32*'Wskazniki emisji paliw'!K$35</f>
        <v>29.069999999999997</v>
      </c>
      <c r="AK32" s="5"/>
      <c r="AL32" s="91" t="str">
        <f t="shared" si="0"/>
        <v>Schronisko dla Zwierząt w Bydgoszczy</v>
      </c>
      <c r="AM32" s="91" t="str">
        <f t="shared" si="1"/>
        <v>SZ</v>
      </c>
      <c r="AN32" s="97">
        <f>'Sam-Budynki-WSAD'!AQ32</f>
        <v>8760</v>
      </c>
      <c r="AO32" s="97">
        <f>'Sam-Budynki-WSAD'!AR32</f>
        <v>27</v>
      </c>
      <c r="AP32" s="97">
        <f>'Sam-Budynki-WSAD'!AS32</f>
        <v>878.85</v>
      </c>
      <c r="AQ32" s="94">
        <f t="shared" si="2"/>
        <v>37110.69</v>
      </c>
      <c r="AR32" s="95">
        <f t="shared" si="3"/>
        <v>91.741239999999991</v>
      </c>
      <c r="AS32" s="98">
        <f t="shared" si="4"/>
        <v>4.2363801369863019</v>
      </c>
      <c r="AT32" s="98">
        <f t="shared" si="5"/>
        <v>1374.47</v>
      </c>
      <c r="AU32" s="98">
        <f t="shared" si="6"/>
        <v>42.226420890937021</v>
      </c>
      <c r="AV32" s="98">
        <f t="shared" si="7"/>
        <v>1.0472744292237442E-2</v>
      </c>
      <c r="AW32" s="98">
        <f t="shared" si="8"/>
        <v>3.3978237037037036</v>
      </c>
      <c r="AX32" s="99">
        <f t="shared" si="9"/>
        <v>0.10438782499857767</v>
      </c>
      <c r="AY32" s="100">
        <f>'Sam-Budynki-WSAD'!BB32</f>
        <v>0</v>
      </c>
      <c r="AZ32" s="90">
        <v>1</v>
      </c>
      <c r="BA32" s="90"/>
      <c r="BB32" s="90"/>
      <c r="BC32" s="90"/>
    </row>
    <row r="33" spans="1:55">
      <c r="A33" s="5"/>
      <c r="B33" s="713" t="str">
        <f>'Sam-Budynki-WSAD'!B33</f>
        <v>Straż Miejska w Bydgoszczy</v>
      </c>
      <c r="C33" s="726" t="str">
        <f>'Sam-Budynki-WSAD'!C33</f>
        <v>SM</v>
      </c>
      <c r="D33" s="709">
        <f>AZ33*'Sam-Budynki-WSAD'!D33</f>
        <v>73645</v>
      </c>
      <c r="E33" s="94">
        <f>AZ33*'Sam-Budynki-WSAD'!E33</f>
        <v>30434.83</v>
      </c>
      <c r="F33" s="95">
        <f>D33*(HLOOKUP(Ogolne!$D$6,'Wskazniki emisji elektrycznosc'!$B$8:$G$29,Ogolne!$E$7,TRUE))/1000</f>
        <v>72.319389999999999</v>
      </c>
      <c r="G33" s="709">
        <f>$AZ33*'Sam-Budynki-WSAD'!H33</f>
        <v>0</v>
      </c>
      <c r="H33" s="94">
        <f>$AZ33*'Sam-Budynki-WSAD'!I33</f>
        <v>0</v>
      </c>
      <c r="I33" s="95">
        <f>G33*'Wskazniki emisji paliw'!M$26</f>
        <v>0</v>
      </c>
      <c r="J33" s="709">
        <f>$AZ33*'Sam-Budynki-WSAD'!L33</f>
        <v>0</v>
      </c>
      <c r="K33" s="94">
        <f>$AZ33*'Sam-Budynki-WSAD'!M33</f>
        <v>0</v>
      </c>
      <c r="L33" s="95">
        <f>J33*'Wskazniki emisji paliw'!M$27</f>
        <v>0</v>
      </c>
      <c r="M33" s="709">
        <f>$AZ33*'Sam-Budynki-WSAD'!O33</f>
        <v>0</v>
      </c>
      <c r="N33" s="94">
        <f>$AZ33*'Sam-Budynki-WSAD'!P33</f>
        <v>0</v>
      </c>
      <c r="O33" s="95">
        <f>M33*'Wskazniki emisji paliw'!L$17</f>
        <v>0</v>
      </c>
      <c r="P33" s="709">
        <f>$AZ33*'Sam-Budynki-WSAD'!R33</f>
        <v>0</v>
      </c>
      <c r="Q33" s="94">
        <f>$AZ33*'Sam-Budynki-WSAD'!S33</f>
        <v>0</v>
      </c>
      <c r="R33" s="95">
        <f>P33*'Wskazniki emisji paliw'!L$18</f>
        <v>0</v>
      </c>
      <c r="S33" s="709">
        <f>$AZ33*'Sam-Budynki-WSAD'!U33</f>
        <v>0</v>
      </c>
      <c r="T33" s="94">
        <f>$AZ33*'Sam-Budynki-WSAD'!V33</f>
        <v>0</v>
      </c>
      <c r="U33" s="95">
        <f>S33*'Wskazniki emisji paliw'!N$10</f>
        <v>0</v>
      </c>
      <c r="V33" s="709">
        <f>$AZ33*'Sam-Budynki-WSAD'!X33</f>
        <v>0</v>
      </c>
      <c r="W33" s="94">
        <f>$AZ33*'Sam-Budynki-WSAD'!Y33</f>
        <v>0</v>
      </c>
      <c r="X33" s="95">
        <f>V33*'Wskazniki emisji paliw'!N$11</f>
        <v>0</v>
      </c>
      <c r="Y33" s="709">
        <f>$AZ33*'Sam-Budynki-WSAD'!AA33</f>
        <v>0</v>
      </c>
      <c r="Z33" s="94">
        <f>$AZ33*'Sam-Budynki-WSAD'!AB33</f>
        <v>0</v>
      </c>
      <c r="AA33" s="95">
        <f>Y33*'Wskazniki emisji paliw'!L$21</f>
        <v>0</v>
      </c>
      <c r="AB33" s="709">
        <f>$AZ33*'Sam-Budynki-WSAD'!AD33</f>
        <v>0</v>
      </c>
      <c r="AC33" s="94">
        <f>$AZ33*'Sam-Budynki-WSAD'!AE33</f>
        <v>0</v>
      </c>
      <c r="AD33" s="95">
        <f>AB33*'Wskazniki emisji paliw'!L$20</f>
        <v>0</v>
      </c>
      <c r="AE33" s="709">
        <f>$AZ33*'Sam-Budynki-WSAD'!AG33</f>
        <v>0</v>
      </c>
      <c r="AF33" s="94">
        <f>$AZ33*'Sam-Budynki-WSAD'!AH33</f>
        <v>0</v>
      </c>
      <c r="AG33" s="95">
        <f>AE33*'Wskazniki emisji paliw'!N$13</f>
        <v>0</v>
      </c>
      <c r="AH33" s="709">
        <f>$AZ33*'Sam-Budynki-WSAD'!AJ33</f>
        <v>97.306748466257673</v>
      </c>
      <c r="AI33" s="94">
        <f>$AZ33*'Sam-Budynki-WSAD'!AK33</f>
        <v>15861</v>
      </c>
      <c r="AJ33" s="96">
        <f>AH33*'Wskazniki emisji paliw'!K$35</f>
        <v>31.527386503067486</v>
      </c>
      <c r="AK33" s="5"/>
      <c r="AL33" s="91" t="str">
        <f t="shared" si="0"/>
        <v>Straż Miejska w Bydgoszczy</v>
      </c>
      <c r="AM33" s="91" t="str">
        <f t="shared" si="1"/>
        <v>SM</v>
      </c>
      <c r="AN33" s="97">
        <f>'Sam-Budynki-WSAD'!AQ34</f>
        <v>0</v>
      </c>
      <c r="AO33" s="97">
        <f>'Sam-Budynki-WSAD'!AR34</f>
        <v>0</v>
      </c>
      <c r="AP33" s="97">
        <f>'Sam-Budynki-WSAD'!AS34</f>
        <v>0</v>
      </c>
      <c r="AQ33" s="94">
        <f t="shared" si="2"/>
        <v>46295.83</v>
      </c>
      <c r="AR33" s="95">
        <f t="shared" si="3"/>
        <v>103.84677650306749</v>
      </c>
      <c r="AS33" s="98" t="str">
        <f t="shared" si="4"/>
        <v/>
      </c>
      <c r="AT33" s="98" t="str">
        <f t="shared" si="5"/>
        <v/>
      </c>
      <c r="AU33" s="98" t="str">
        <f t="shared" si="6"/>
        <v/>
      </c>
      <c r="AV33" s="98" t="str">
        <f t="shared" si="7"/>
        <v/>
      </c>
      <c r="AW33" s="98" t="str">
        <f t="shared" si="8"/>
        <v/>
      </c>
      <c r="AX33" s="99" t="str">
        <f t="shared" si="9"/>
        <v/>
      </c>
      <c r="AY33" s="100">
        <f>'Sam-Budynki-WSAD'!BB33</f>
        <v>0</v>
      </c>
      <c r="AZ33" s="90">
        <v>1</v>
      </c>
      <c r="BA33" s="90"/>
      <c r="BB33" s="90"/>
      <c r="BC33" s="90"/>
    </row>
    <row r="34" spans="1:55">
      <c r="A34" s="5"/>
      <c r="B34" s="713" t="str">
        <f>'Sam-Budynki-WSAD'!B34</f>
        <v>Teatr Polski im. Hieronima Konieczki w Bydgoszczy</v>
      </c>
      <c r="C34" s="726" t="str">
        <f>'Sam-Budynki-WSAD'!C34</f>
        <v>TP</v>
      </c>
      <c r="D34" s="709">
        <f>AZ34*'Sam-Budynki-WSAD'!D34</f>
        <v>137271</v>
      </c>
      <c r="E34" s="94">
        <f>AZ34*'Sam-Budynki-WSAD'!E34</f>
        <v>61741.89</v>
      </c>
      <c r="F34" s="95">
        <f>D34*(HLOOKUP(Ogolne!$D$6,'Wskazniki emisji elektrycznosc'!$B$8:$G$29,Ogolne!$E$7,TRUE))/1000</f>
        <v>134.80012200000002</v>
      </c>
      <c r="G34" s="709">
        <f>$AZ34*'Sam-Budynki-WSAD'!H34</f>
        <v>0</v>
      </c>
      <c r="H34" s="94">
        <f>$AZ34*'Sam-Budynki-WSAD'!I34</f>
        <v>0</v>
      </c>
      <c r="I34" s="95">
        <f>G34*'Wskazniki emisji paliw'!M$26</f>
        <v>0</v>
      </c>
      <c r="J34" s="709">
        <f>$AZ34*'Sam-Budynki-WSAD'!L34</f>
        <v>0</v>
      </c>
      <c r="K34" s="94">
        <f>$AZ34*'Sam-Budynki-WSAD'!M34</f>
        <v>0</v>
      </c>
      <c r="L34" s="95">
        <f>J34*'Wskazniki emisji paliw'!M$27</f>
        <v>0</v>
      </c>
      <c r="M34" s="709">
        <f>$AZ34*'Sam-Budynki-WSAD'!O34</f>
        <v>0</v>
      </c>
      <c r="N34" s="94">
        <f>$AZ34*'Sam-Budynki-WSAD'!P34</f>
        <v>0</v>
      </c>
      <c r="O34" s="95">
        <f>M34*'Wskazniki emisji paliw'!L$17</f>
        <v>0</v>
      </c>
      <c r="P34" s="709">
        <f>$AZ34*'Sam-Budynki-WSAD'!R34</f>
        <v>0</v>
      </c>
      <c r="Q34" s="94">
        <f>$AZ34*'Sam-Budynki-WSAD'!S34</f>
        <v>0</v>
      </c>
      <c r="R34" s="95">
        <f>P34*'Wskazniki emisji paliw'!L$18</f>
        <v>0</v>
      </c>
      <c r="S34" s="709">
        <f>$AZ34*'Sam-Budynki-WSAD'!U34</f>
        <v>0</v>
      </c>
      <c r="T34" s="94">
        <f>$AZ34*'Sam-Budynki-WSAD'!V34</f>
        <v>0</v>
      </c>
      <c r="U34" s="95">
        <f>S34*'Wskazniki emisji paliw'!N$10</f>
        <v>0</v>
      </c>
      <c r="V34" s="709">
        <f>$AZ34*'Sam-Budynki-WSAD'!X34</f>
        <v>0</v>
      </c>
      <c r="W34" s="94">
        <f>$AZ34*'Sam-Budynki-WSAD'!Y34</f>
        <v>0</v>
      </c>
      <c r="X34" s="95">
        <f>V34*'Wskazniki emisji paliw'!N$11</f>
        <v>0</v>
      </c>
      <c r="Y34" s="709">
        <f>$AZ34*'Sam-Budynki-WSAD'!AA34</f>
        <v>0</v>
      </c>
      <c r="Z34" s="94">
        <f>$AZ34*'Sam-Budynki-WSAD'!AB34</f>
        <v>0</v>
      </c>
      <c r="AA34" s="95">
        <f>Y34*'Wskazniki emisji paliw'!L$21</f>
        <v>0</v>
      </c>
      <c r="AB34" s="709">
        <f>$AZ34*'Sam-Budynki-WSAD'!AD34</f>
        <v>0</v>
      </c>
      <c r="AC34" s="94">
        <f>$AZ34*'Sam-Budynki-WSAD'!AE34</f>
        <v>0</v>
      </c>
      <c r="AD34" s="95">
        <f>AB34*'Wskazniki emisji paliw'!L$20</f>
        <v>0</v>
      </c>
      <c r="AE34" s="709">
        <f>$AZ34*'Sam-Budynki-WSAD'!AG34</f>
        <v>0</v>
      </c>
      <c r="AF34" s="94">
        <f>$AZ34*'Sam-Budynki-WSAD'!AH34</f>
        <v>0</v>
      </c>
      <c r="AG34" s="95">
        <f>AE34*'Wskazniki emisji paliw'!N$13</f>
        <v>0</v>
      </c>
      <c r="AH34" s="709">
        <f>$AZ34*'Sam-Budynki-WSAD'!AJ34</f>
        <v>559.16666666666663</v>
      </c>
      <c r="AI34" s="94">
        <f>$AZ34*'Sam-Budynki-WSAD'!AK34</f>
        <v>87499.97</v>
      </c>
      <c r="AJ34" s="96">
        <f>AH34*'Wskazniki emisji paliw'!K$35</f>
        <v>181.17</v>
      </c>
      <c r="AK34" s="5"/>
      <c r="AL34" s="91" t="str">
        <f t="shared" si="0"/>
        <v>Teatr Polski im. Hieronima Konieczki w Bydgoszczy</v>
      </c>
      <c r="AM34" s="91" t="str">
        <f t="shared" si="1"/>
        <v>TP</v>
      </c>
      <c r="AN34" s="97">
        <f>'Sam-Budynki-WSAD'!AQ35</f>
        <v>0</v>
      </c>
      <c r="AO34" s="97">
        <f>'Sam-Budynki-WSAD'!AR35</f>
        <v>0</v>
      </c>
      <c r="AP34" s="97">
        <f>'Sam-Budynki-WSAD'!AS35</f>
        <v>0</v>
      </c>
      <c r="AQ34" s="94">
        <f t="shared" si="2"/>
        <v>149241.85999999999</v>
      </c>
      <c r="AR34" s="95">
        <f t="shared" si="3"/>
        <v>315.970122</v>
      </c>
      <c r="AS34" s="98" t="str">
        <f t="shared" si="4"/>
        <v/>
      </c>
      <c r="AT34" s="98" t="str">
        <f t="shared" si="5"/>
        <v/>
      </c>
      <c r="AU34" s="98" t="str">
        <f t="shared" si="6"/>
        <v/>
      </c>
      <c r="AV34" s="98" t="str">
        <f t="shared" si="7"/>
        <v/>
      </c>
      <c r="AW34" s="98" t="str">
        <f t="shared" si="8"/>
        <v/>
      </c>
      <c r="AX34" s="99" t="str">
        <f t="shared" si="9"/>
        <v/>
      </c>
      <c r="AY34" s="100">
        <f>'Sam-Budynki-WSAD'!BB34</f>
        <v>0</v>
      </c>
      <c r="AZ34" s="90">
        <v>1</v>
      </c>
      <c r="BA34" s="90"/>
      <c r="BB34" s="90"/>
      <c r="BC34" s="90"/>
    </row>
    <row r="35" spans="1:55">
      <c r="A35" s="5"/>
      <c r="B35" s="713" t="str">
        <f>'Sam-Budynki-WSAD'!B35</f>
        <v>Tramwaj Fordon Sp. z o.o.</v>
      </c>
      <c r="C35" s="726" t="str">
        <f>'Sam-Budynki-WSAD'!C35</f>
        <v>TF</v>
      </c>
      <c r="D35" s="709">
        <f>AZ35*'Sam-Budynki-WSAD'!D35</f>
        <v>0</v>
      </c>
      <c r="E35" s="94">
        <f>AZ35*'Sam-Budynki-WSAD'!E35</f>
        <v>0</v>
      </c>
      <c r="F35" s="95">
        <f>D35*(HLOOKUP(Ogolne!$D$6,'Wskazniki emisji elektrycznosc'!$B$8:$G$29,Ogolne!$E$7,TRUE))/1000</f>
        <v>0</v>
      </c>
      <c r="G35" s="709">
        <f>$AZ35*'Sam-Budynki-WSAD'!H35</f>
        <v>0</v>
      </c>
      <c r="H35" s="94">
        <f>$AZ35*'Sam-Budynki-WSAD'!I35</f>
        <v>0</v>
      </c>
      <c r="I35" s="95">
        <f>G35*'Wskazniki emisji paliw'!M$26</f>
        <v>0</v>
      </c>
      <c r="J35" s="709">
        <f>$AZ35*'Sam-Budynki-WSAD'!L35</f>
        <v>0</v>
      </c>
      <c r="K35" s="94">
        <f>$AZ35*'Sam-Budynki-WSAD'!M35</f>
        <v>0</v>
      </c>
      <c r="L35" s="95">
        <f>J35*'Wskazniki emisji paliw'!M$27</f>
        <v>0</v>
      </c>
      <c r="M35" s="709">
        <f>$AZ35*'Sam-Budynki-WSAD'!O35</f>
        <v>0</v>
      </c>
      <c r="N35" s="94">
        <f>$AZ35*'Sam-Budynki-WSAD'!P35</f>
        <v>0</v>
      </c>
      <c r="O35" s="95">
        <f>M35*'Wskazniki emisji paliw'!L$17</f>
        <v>0</v>
      </c>
      <c r="P35" s="709">
        <f>$AZ35*'Sam-Budynki-WSAD'!R35</f>
        <v>0</v>
      </c>
      <c r="Q35" s="94">
        <f>$AZ35*'Sam-Budynki-WSAD'!S35</f>
        <v>0</v>
      </c>
      <c r="R35" s="95">
        <f>P35*'Wskazniki emisji paliw'!L$18</f>
        <v>0</v>
      </c>
      <c r="S35" s="709">
        <f>$AZ35*'Sam-Budynki-WSAD'!U35</f>
        <v>0</v>
      </c>
      <c r="T35" s="94">
        <f>$AZ35*'Sam-Budynki-WSAD'!V35</f>
        <v>0</v>
      </c>
      <c r="U35" s="95">
        <f>S35*'Wskazniki emisji paliw'!N$10</f>
        <v>0</v>
      </c>
      <c r="V35" s="709">
        <f>$AZ35*'Sam-Budynki-WSAD'!X35</f>
        <v>0</v>
      </c>
      <c r="W35" s="94">
        <f>$AZ35*'Sam-Budynki-WSAD'!Y35</f>
        <v>0</v>
      </c>
      <c r="X35" s="95">
        <f>V35*'Wskazniki emisji paliw'!N$11</f>
        <v>0</v>
      </c>
      <c r="Y35" s="709">
        <f>$AZ35*'Sam-Budynki-WSAD'!AA35</f>
        <v>0</v>
      </c>
      <c r="Z35" s="94">
        <f>$AZ35*'Sam-Budynki-WSAD'!AB35</f>
        <v>0</v>
      </c>
      <c r="AA35" s="95">
        <f>Y35*'Wskazniki emisji paliw'!L$21</f>
        <v>0</v>
      </c>
      <c r="AB35" s="709">
        <f>$AZ35*'Sam-Budynki-WSAD'!AD35</f>
        <v>0</v>
      </c>
      <c r="AC35" s="94">
        <f>$AZ35*'Sam-Budynki-WSAD'!AE35</f>
        <v>0</v>
      </c>
      <c r="AD35" s="95">
        <f>AB35*'Wskazniki emisji paliw'!L$20</f>
        <v>0</v>
      </c>
      <c r="AE35" s="709">
        <f>$AZ35*'Sam-Budynki-WSAD'!AG35</f>
        <v>0</v>
      </c>
      <c r="AF35" s="94">
        <f>$AZ35*'Sam-Budynki-WSAD'!AH35</f>
        <v>0</v>
      </c>
      <c r="AG35" s="95">
        <f>AE35*'Wskazniki emisji paliw'!N$13</f>
        <v>0</v>
      </c>
      <c r="AH35" s="709">
        <f>$AZ35*'Sam-Budynki-WSAD'!AJ35</f>
        <v>0</v>
      </c>
      <c r="AI35" s="94">
        <f>$AZ35*'Sam-Budynki-WSAD'!AK35</f>
        <v>0</v>
      </c>
      <c r="AJ35" s="96">
        <f>AH35*'Wskazniki emisji paliw'!K$35</f>
        <v>0</v>
      </c>
      <c r="AK35" s="5"/>
      <c r="AL35" s="91" t="str">
        <f t="shared" si="0"/>
        <v>Tramwaj Fordon Sp. z o.o.</v>
      </c>
      <c r="AM35" s="91" t="str">
        <f t="shared" si="1"/>
        <v>TF</v>
      </c>
      <c r="AN35" s="97">
        <f>'Sam-Budynki-WSAD'!AQ36</f>
        <v>43800</v>
      </c>
      <c r="AO35" s="97">
        <f>'Sam-Budynki-WSAD'!AR36</f>
        <v>247</v>
      </c>
      <c r="AP35" s="97">
        <f>'Sam-Budynki-WSAD'!AS36</f>
        <v>33438.400000000001</v>
      </c>
      <c r="AQ35" s="94">
        <f t="shared" si="2"/>
        <v>0</v>
      </c>
      <c r="AR35" s="95">
        <f t="shared" si="3"/>
        <v>0</v>
      </c>
      <c r="AS35" s="98">
        <f t="shared" si="4"/>
        <v>0</v>
      </c>
      <c r="AT35" s="98">
        <f t="shared" si="5"/>
        <v>0</v>
      </c>
      <c r="AU35" s="98">
        <f t="shared" si="6"/>
        <v>0</v>
      </c>
      <c r="AV35" s="98">
        <f t="shared" si="7"/>
        <v>0</v>
      </c>
      <c r="AW35" s="98">
        <f t="shared" si="8"/>
        <v>0</v>
      </c>
      <c r="AX35" s="99">
        <f t="shared" si="9"/>
        <v>0</v>
      </c>
      <c r="AY35" s="100" t="str">
        <f>'Sam-Budynki-WSAD'!BB35</f>
        <v>spółka istnieje od 2009 roku</v>
      </c>
      <c r="AZ35" s="90">
        <v>1</v>
      </c>
      <c r="BA35" s="90"/>
      <c r="BB35" s="90"/>
      <c r="BC35" s="90"/>
    </row>
    <row r="36" spans="1:55">
      <c r="A36" s="5"/>
      <c r="B36" s="713" t="str">
        <f>'Sam-Budynki-WSAD'!B36</f>
        <v>Wielospecjalistyczny Szpital Miejski im. dr Emila Warmińskiego SPZOZ w Bydgoszczy</v>
      </c>
      <c r="C36" s="726" t="str">
        <f>'Sam-Budynki-WSAD'!C36</f>
        <v>WSM</v>
      </c>
      <c r="D36" s="709">
        <f>AZ36*'Sam-Budynki-WSAD'!D36</f>
        <v>960390</v>
      </c>
      <c r="E36" s="94">
        <f>AZ36*'Sam-Budynki-WSAD'!E36</f>
        <v>332820.43</v>
      </c>
      <c r="F36" s="95">
        <f>D36*(HLOOKUP(Ogolne!$D$6,'Wskazniki emisji elektrycznosc'!$B$8:$G$29,Ogolne!$E$7,TRUE))/1000</f>
        <v>943.10298</v>
      </c>
      <c r="G36" s="709">
        <f>$AZ36*'Sam-Budynki-WSAD'!H36</f>
        <v>107242</v>
      </c>
      <c r="H36" s="94">
        <f>$AZ36*'Sam-Budynki-WSAD'!I36</f>
        <v>112577.52</v>
      </c>
      <c r="I36" s="95">
        <f>G36*'Wskazniki emisji paliw'!M$26</f>
        <v>777.7511203095977</v>
      </c>
      <c r="J36" s="709">
        <f>$AZ36*'Sam-Budynki-WSAD'!L36</f>
        <v>0</v>
      </c>
      <c r="K36" s="94">
        <f>$AZ36*'Sam-Budynki-WSAD'!M36</f>
        <v>0</v>
      </c>
      <c r="L36" s="95">
        <f>J36*'Wskazniki emisji paliw'!M$27</f>
        <v>0</v>
      </c>
      <c r="M36" s="709">
        <f>$AZ36*'Sam-Budynki-WSAD'!O36</f>
        <v>7710</v>
      </c>
      <c r="N36" s="94">
        <f>$AZ36*'Sam-Budynki-WSAD'!P36</f>
        <v>16191</v>
      </c>
      <c r="O36" s="95">
        <f>M36*'Wskazniki emisji paliw'!L$17</f>
        <v>21.359297421899999</v>
      </c>
      <c r="P36" s="709">
        <f>$AZ36*'Sam-Budynki-WSAD'!R36</f>
        <v>0</v>
      </c>
      <c r="Q36" s="94">
        <f>$AZ36*'Sam-Budynki-WSAD'!S36</f>
        <v>0</v>
      </c>
      <c r="R36" s="95">
        <f>P36*'Wskazniki emisji paliw'!L$18</f>
        <v>0</v>
      </c>
      <c r="S36" s="709">
        <f>$AZ36*'Sam-Budynki-WSAD'!U36</f>
        <v>0</v>
      </c>
      <c r="T36" s="94">
        <f>$AZ36*'Sam-Budynki-WSAD'!V36</f>
        <v>0</v>
      </c>
      <c r="U36" s="95">
        <f>S36*'Wskazniki emisji paliw'!N$10</f>
        <v>0</v>
      </c>
      <c r="V36" s="709">
        <f>$AZ36*'Sam-Budynki-WSAD'!X36</f>
        <v>0</v>
      </c>
      <c r="W36" s="94">
        <f>$AZ36*'Sam-Budynki-WSAD'!Y36</f>
        <v>0</v>
      </c>
      <c r="X36" s="95">
        <f>V36*'Wskazniki emisji paliw'!N$11</f>
        <v>0</v>
      </c>
      <c r="Y36" s="709">
        <f>$AZ36*'Sam-Budynki-WSAD'!AA36</f>
        <v>0</v>
      </c>
      <c r="Z36" s="94">
        <f>$AZ36*'Sam-Budynki-WSAD'!AB36</f>
        <v>0</v>
      </c>
      <c r="AA36" s="95">
        <f>Y36*'Wskazniki emisji paliw'!L$21</f>
        <v>0</v>
      </c>
      <c r="AB36" s="709">
        <f>$AZ36*'Sam-Budynki-WSAD'!AD36</f>
        <v>0</v>
      </c>
      <c r="AC36" s="94">
        <f>$AZ36*'Sam-Budynki-WSAD'!AE36</f>
        <v>0</v>
      </c>
      <c r="AD36" s="95">
        <f>AB36*'Wskazniki emisji paliw'!L$20</f>
        <v>0</v>
      </c>
      <c r="AE36" s="709">
        <f>$AZ36*'Sam-Budynki-WSAD'!AG36</f>
        <v>0</v>
      </c>
      <c r="AF36" s="94">
        <f>$AZ36*'Sam-Budynki-WSAD'!AH36</f>
        <v>0</v>
      </c>
      <c r="AG36" s="95">
        <f>AE36*'Wskazniki emisji paliw'!N$13</f>
        <v>0</v>
      </c>
      <c r="AH36" s="709">
        <f>$AZ36*'Sam-Budynki-WSAD'!AJ36</f>
        <v>1181.6666666666667</v>
      </c>
      <c r="AI36" s="94">
        <f>$AZ36*'Sam-Budynki-WSAD'!AK36</f>
        <v>199098.81</v>
      </c>
      <c r="AJ36" s="96">
        <f>AH36*'Wskazniki emisji paliw'!K$35</f>
        <v>382.86</v>
      </c>
      <c r="AK36" s="5"/>
      <c r="AL36" s="91" t="str">
        <f t="shared" si="0"/>
        <v>Wielospecjalistyczny Szpital Miejski im. dr Emila Warmińskiego SPZOZ w Bydgoszczy</v>
      </c>
      <c r="AM36" s="91" t="str">
        <f t="shared" si="1"/>
        <v>WSM</v>
      </c>
      <c r="AN36" s="97">
        <f>'Sam-Budynki-WSAD'!AQ37</f>
        <v>23608</v>
      </c>
      <c r="AO36" s="97">
        <f>'Sam-Budynki-WSAD'!AR37</f>
        <v>96</v>
      </c>
      <c r="AP36" s="97">
        <f>'Sam-Budynki-WSAD'!AS37</f>
        <v>33086</v>
      </c>
      <c r="AQ36" s="94">
        <f t="shared" si="2"/>
        <v>660687.76</v>
      </c>
      <c r="AR36" s="95">
        <f t="shared" si="3"/>
        <v>2125.0733977314976</v>
      </c>
      <c r="AS36" s="98">
        <f t="shared" si="4"/>
        <v>27.98575737038292</v>
      </c>
      <c r="AT36" s="98">
        <f t="shared" si="5"/>
        <v>6882.1641666666665</v>
      </c>
      <c r="AU36" s="98">
        <f t="shared" si="6"/>
        <v>19.968801305688206</v>
      </c>
      <c r="AV36" s="98">
        <f t="shared" si="7"/>
        <v>9.001496940577336E-2</v>
      </c>
      <c r="AW36" s="98">
        <f t="shared" si="8"/>
        <v>22.136181226369768</v>
      </c>
      <c r="AX36" s="99">
        <f t="shared" si="9"/>
        <v>6.422877947565428E-2</v>
      </c>
      <c r="AY36" s="100">
        <f>'Sam-Budynki-WSAD'!BB36</f>
        <v>0</v>
      </c>
      <c r="AZ36" s="90">
        <v>1</v>
      </c>
      <c r="BA36" s="90"/>
      <c r="BB36" s="90"/>
      <c r="BC36" s="90"/>
    </row>
    <row r="37" spans="1:55">
      <c r="A37" s="5"/>
      <c r="B37" s="713" t="str">
        <f>'Sam-Budynki-WSAD'!B37</f>
        <v xml:space="preserve">Cywilno Wojskowy Związek Sportowy Zawisza Bydgoszcz </v>
      </c>
      <c r="C37" s="726" t="str">
        <f>'Sam-Budynki-WSAD'!C37</f>
        <v>CWZS</v>
      </c>
      <c r="D37" s="709">
        <f>AZ37*'Sam-Budynki-WSAD'!D37</f>
        <v>1178390</v>
      </c>
      <c r="E37" s="94">
        <f>AZ37*'Sam-Budynki-WSAD'!E37</f>
        <v>627576.90999999992</v>
      </c>
      <c r="F37" s="95">
        <f>D37*(HLOOKUP(Ogolne!$D$6,'Wskazniki emisji elektrycznosc'!$B$8:$G$29,Ogolne!$E$7,TRUE))/1000</f>
        <v>1157.1789799999999</v>
      </c>
      <c r="G37" s="709">
        <f>$AZ37*'Sam-Budynki-WSAD'!H37</f>
        <v>10500</v>
      </c>
      <c r="H37" s="94">
        <f>$AZ37*'Sam-Budynki-WSAD'!I37</f>
        <v>7522</v>
      </c>
      <c r="I37" s="95">
        <f>G37*'Wskazniki emisji paliw'!M$26</f>
        <v>76.149146446828439</v>
      </c>
      <c r="J37" s="709">
        <f>$AZ37*'Sam-Budynki-WSAD'!L37</f>
        <v>0</v>
      </c>
      <c r="K37" s="94">
        <f>$AZ37*'Sam-Budynki-WSAD'!M37</f>
        <v>0</v>
      </c>
      <c r="L37" s="95">
        <f>J37*'Wskazniki emisji paliw'!M$27</f>
        <v>0</v>
      </c>
      <c r="M37" s="709">
        <f>$AZ37*'Sam-Budynki-WSAD'!O37</f>
        <v>0</v>
      </c>
      <c r="N37" s="94">
        <f>$AZ37*'Sam-Budynki-WSAD'!P37</f>
        <v>0</v>
      </c>
      <c r="O37" s="95">
        <f>M37*'Wskazniki emisji paliw'!L$17</f>
        <v>0</v>
      </c>
      <c r="P37" s="709">
        <f>$AZ37*'Sam-Budynki-WSAD'!R37</f>
        <v>0</v>
      </c>
      <c r="Q37" s="94">
        <f>$AZ37*'Sam-Budynki-WSAD'!S37</f>
        <v>0</v>
      </c>
      <c r="R37" s="95">
        <f>P37*'Wskazniki emisji paliw'!L$18</f>
        <v>0</v>
      </c>
      <c r="S37" s="709">
        <f>$AZ37*'Sam-Budynki-WSAD'!U37</f>
        <v>0</v>
      </c>
      <c r="T37" s="94">
        <f>$AZ37*'Sam-Budynki-WSAD'!V37</f>
        <v>0</v>
      </c>
      <c r="U37" s="95">
        <f>S37*'Wskazniki emisji paliw'!N$10</f>
        <v>0</v>
      </c>
      <c r="V37" s="709">
        <f>$AZ37*'Sam-Budynki-WSAD'!X37</f>
        <v>0</v>
      </c>
      <c r="W37" s="94">
        <f>$AZ37*'Sam-Budynki-WSAD'!Y37</f>
        <v>0</v>
      </c>
      <c r="X37" s="95">
        <f>V37*'Wskazniki emisji paliw'!N$11</f>
        <v>0</v>
      </c>
      <c r="Y37" s="709">
        <f>$AZ37*'Sam-Budynki-WSAD'!AA37</f>
        <v>0</v>
      </c>
      <c r="Z37" s="94">
        <f>$AZ37*'Sam-Budynki-WSAD'!AB37</f>
        <v>0</v>
      </c>
      <c r="AA37" s="95">
        <f>Y37*'Wskazniki emisji paliw'!L$21</f>
        <v>0</v>
      </c>
      <c r="AB37" s="709">
        <f>$AZ37*'Sam-Budynki-WSAD'!AD37</f>
        <v>0</v>
      </c>
      <c r="AC37" s="94">
        <f>$AZ37*'Sam-Budynki-WSAD'!AE37</f>
        <v>0</v>
      </c>
      <c r="AD37" s="95">
        <f>AB37*'Wskazniki emisji paliw'!L$20</f>
        <v>0</v>
      </c>
      <c r="AE37" s="709">
        <f>$AZ37*'Sam-Budynki-WSAD'!AG37</f>
        <v>0</v>
      </c>
      <c r="AF37" s="94">
        <f>$AZ37*'Sam-Budynki-WSAD'!AH37</f>
        <v>0</v>
      </c>
      <c r="AG37" s="95">
        <f>AE37*'Wskazniki emisji paliw'!N$13</f>
        <v>0</v>
      </c>
      <c r="AH37" s="709">
        <f>$AZ37*'Sam-Budynki-WSAD'!AJ37</f>
        <v>9148.1222222222241</v>
      </c>
      <c r="AI37" s="94">
        <f>$AZ37*'Sam-Budynki-WSAD'!AK37</f>
        <v>1185583.6600000001</v>
      </c>
      <c r="AJ37" s="96">
        <f>AH37*'Wskazniki emisji paliw'!K$35</f>
        <v>2963.9916000000007</v>
      </c>
      <c r="AK37" s="5"/>
      <c r="AL37" s="91" t="str">
        <f t="shared" si="0"/>
        <v xml:space="preserve">Cywilno Wojskowy Związek Sportowy Zawisza Bydgoszcz </v>
      </c>
      <c r="AM37" s="91" t="str">
        <f t="shared" si="1"/>
        <v>CWZS</v>
      </c>
      <c r="AN37" s="97">
        <f>'Sam-Budynki-WSAD'!AQ38</f>
        <v>2500</v>
      </c>
      <c r="AO37" s="97">
        <f>'Sam-Budynki-WSAD'!AR38</f>
        <v>300</v>
      </c>
      <c r="AP37" s="97">
        <f>'Sam-Budynki-WSAD'!AS38</f>
        <v>4021</v>
      </c>
      <c r="AQ37" s="94">
        <f t="shared" si="2"/>
        <v>1820682.57</v>
      </c>
      <c r="AR37" s="95">
        <f t="shared" si="3"/>
        <v>4197.319726446829</v>
      </c>
      <c r="AS37" s="98">
        <f t="shared" si="4"/>
        <v>728.27302800000007</v>
      </c>
      <c r="AT37" s="98">
        <f t="shared" si="5"/>
        <v>6068.9418999999998</v>
      </c>
      <c r="AU37" s="98">
        <f t="shared" si="6"/>
        <v>452.79347674707788</v>
      </c>
      <c r="AV37" s="98">
        <f t="shared" si="7"/>
        <v>1.6789278905787317</v>
      </c>
      <c r="AW37" s="98">
        <f t="shared" si="8"/>
        <v>13.991065754822763</v>
      </c>
      <c r="AX37" s="99">
        <f t="shared" si="9"/>
        <v>1.0438497205786692</v>
      </c>
      <c r="AY37" s="100" t="str">
        <f>'Sam-Budynki-WSAD'!BB37</f>
        <v>użytkowonicy - tylko pracownicy</v>
      </c>
      <c r="AZ37" s="90">
        <v>1</v>
      </c>
      <c r="BA37" s="90"/>
      <c r="BB37" s="90"/>
      <c r="BC37" s="90"/>
    </row>
    <row r="38" spans="1:55" ht="33.75">
      <c r="A38" s="5"/>
      <c r="B38" s="713" t="str">
        <f>'Sam-Budynki-WSAD'!B38</f>
        <v>Wojewódzka i Miejska Biblioteka Publiczna im. dr Witolda Bełzy w Bydgoszczy</v>
      </c>
      <c r="C38" s="726" t="str">
        <f>'Sam-Budynki-WSAD'!C38</f>
        <v>BIBLIO</v>
      </c>
      <c r="D38" s="709">
        <f>AZ38*'Sam-Budynki-WSAD'!D38</f>
        <v>124036</v>
      </c>
      <c r="E38" s="94">
        <f>AZ38*'Sam-Budynki-WSAD'!E38</f>
        <v>76539.47</v>
      </c>
      <c r="F38" s="95">
        <f>D38*(HLOOKUP(Ogolne!$D$6,'Wskazniki emisji elektrycznosc'!$B$8:$G$29,Ogolne!$E$7,TRUE))/1000</f>
        <v>121.803352</v>
      </c>
      <c r="G38" s="709">
        <f>$AZ38*'Sam-Budynki-WSAD'!H38</f>
        <v>0</v>
      </c>
      <c r="H38" s="94">
        <f>$AZ38*'Sam-Budynki-WSAD'!I38</f>
        <v>0</v>
      </c>
      <c r="I38" s="95">
        <f>G38*'Wskazniki emisji paliw'!M$26</f>
        <v>0</v>
      </c>
      <c r="J38" s="709">
        <f>$AZ38*'Sam-Budynki-WSAD'!L38</f>
        <v>0</v>
      </c>
      <c r="K38" s="94">
        <f>$AZ38*'Sam-Budynki-WSAD'!M38</f>
        <v>0</v>
      </c>
      <c r="L38" s="95">
        <f>J38*'Wskazniki emisji paliw'!M$27</f>
        <v>0</v>
      </c>
      <c r="M38" s="709">
        <f>$AZ38*'Sam-Budynki-WSAD'!O38</f>
        <v>0</v>
      </c>
      <c r="N38" s="94">
        <f>$AZ38*'Sam-Budynki-WSAD'!P38</f>
        <v>0</v>
      </c>
      <c r="O38" s="95">
        <f>M38*'Wskazniki emisji paliw'!L$17</f>
        <v>0</v>
      </c>
      <c r="P38" s="709">
        <f>$AZ38*'Sam-Budynki-WSAD'!R38</f>
        <v>0</v>
      </c>
      <c r="Q38" s="94">
        <f>$AZ38*'Sam-Budynki-WSAD'!S38</f>
        <v>0</v>
      </c>
      <c r="R38" s="95">
        <f>P38*'Wskazniki emisji paliw'!L$18</f>
        <v>0</v>
      </c>
      <c r="S38" s="709">
        <f>$AZ38*'Sam-Budynki-WSAD'!U38</f>
        <v>0</v>
      </c>
      <c r="T38" s="94">
        <f>$AZ38*'Sam-Budynki-WSAD'!V38</f>
        <v>0</v>
      </c>
      <c r="U38" s="95">
        <f>S38*'Wskazniki emisji paliw'!N$10</f>
        <v>0</v>
      </c>
      <c r="V38" s="709">
        <f>$AZ38*'Sam-Budynki-WSAD'!X38</f>
        <v>0</v>
      </c>
      <c r="W38" s="94">
        <f>$AZ38*'Sam-Budynki-WSAD'!Y38</f>
        <v>0</v>
      </c>
      <c r="X38" s="95">
        <f>V38*'Wskazniki emisji paliw'!N$11</f>
        <v>0</v>
      </c>
      <c r="Y38" s="709">
        <f>$AZ38*'Sam-Budynki-WSAD'!AA38</f>
        <v>0</v>
      </c>
      <c r="Z38" s="94">
        <f>$AZ38*'Sam-Budynki-WSAD'!AB38</f>
        <v>0</v>
      </c>
      <c r="AA38" s="95">
        <f>Y38*'Wskazniki emisji paliw'!L$21</f>
        <v>0</v>
      </c>
      <c r="AB38" s="709">
        <f>$AZ38*'Sam-Budynki-WSAD'!AD38</f>
        <v>0</v>
      </c>
      <c r="AC38" s="94">
        <f>$AZ38*'Sam-Budynki-WSAD'!AE38</f>
        <v>0</v>
      </c>
      <c r="AD38" s="95">
        <f>AB38*'Wskazniki emisji paliw'!L$20</f>
        <v>0</v>
      </c>
      <c r="AE38" s="709">
        <f>$AZ38*'Sam-Budynki-WSAD'!AG38</f>
        <v>0</v>
      </c>
      <c r="AF38" s="94">
        <f>$AZ38*'Sam-Budynki-WSAD'!AH38</f>
        <v>0</v>
      </c>
      <c r="AG38" s="95">
        <f>AE38*'Wskazniki emisji paliw'!N$13</f>
        <v>0</v>
      </c>
      <c r="AH38" s="709">
        <f>$AZ38*'Sam-Budynki-WSAD'!AJ38</f>
        <v>643.33000000000004</v>
      </c>
      <c r="AI38" s="94">
        <f>$AZ38*'Sam-Budynki-WSAD'!AK38</f>
        <v>127311.91</v>
      </c>
      <c r="AJ38" s="96">
        <f>AH38*'Wskazniki emisji paliw'!K$35</f>
        <v>208.43892000000002</v>
      </c>
      <c r="AK38" s="5"/>
      <c r="AL38" s="91" t="str">
        <f t="shared" si="0"/>
        <v>Wojewódzka i Miejska Biblioteka Publiczna im. dr Witolda Bełzy w Bydgoszczy</v>
      </c>
      <c r="AM38" s="91" t="str">
        <f t="shared" si="1"/>
        <v>BIBLIO</v>
      </c>
      <c r="AN38" s="97">
        <f>'Sam-Budynki-WSAD'!AQ39</f>
        <v>24696</v>
      </c>
      <c r="AO38" s="97">
        <f>'Sam-Budynki-WSAD'!AR39</f>
        <v>1018</v>
      </c>
      <c r="AP38" s="97">
        <f>'Sam-Budynki-WSAD'!AS39</f>
        <v>9506.0099999999984</v>
      </c>
      <c r="AQ38" s="94">
        <f t="shared" si="2"/>
        <v>203851.38</v>
      </c>
      <c r="AR38" s="95">
        <f t="shared" si="3"/>
        <v>330.24227200000001</v>
      </c>
      <c r="AS38" s="98">
        <f t="shared" si="4"/>
        <v>8.2544290573372212</v>
      </c>
      <c r="AT38" s="98">
        <f t="shared" si="5"/>
        <v>200.24693516699412</v>
      </c>
      <c r="AU38" s="98">
        <f t="shared" si="6"/>
        <v>21.444473548839106</v>
      </c>
      <c r="AV38" s="98">
        <f t="shared" si="7"/>
        <v>1.3372298023971494E-2</v>
      </c>
      <c r="AW38" s="98">
        <f t="shared" si="8"/>
        <v>0.32440301768172891</v>
      </c>
      <c r="AX38" s="99">
        <f t="shared" si="9"/>
        <v>3.4740366568097453E-2</v>
      </c>
      <c r="AY38" s="100" t="str">
        <f>'Sam-Budynki-WSAD'!BB38</f>
        <v>dane dotyczą wyłącznie Biblioteki Głównej - pozostałe jednostki to lokale w budynkach administrowanych przez spółdzielnie mieszkaniowe ADM</v>
      </c>
      <c r="AZ38" s="90">
        <v>1</v>
      </c>
      <c r="BA38" s="90"/>
      <c r="BB38" s="90"/>
      <c r="BC38" s="90"/>
    </row>
    <row r="39" spans="1:55">
      <c r="A39" s="5"/>
      <c r="B39" s="713" t="str">
        <f>'Sam-Budynki-WSAD'!B39</f>
        <v>Wydział Edukacji, Urząd Miasta Bydgoszczy  - bursy, schroniska</v>
      </c>
      <c r="C39" s="726" t="str">
        <f>'Sam-Budynki-WSAD'!C39</f>
        <v>WE</v>
      </c>
      <c r="D39" s="709">
        <f>AZ39*'Sam-Budynki-WSAD'!D39</f>
        <v>195993</v>
      </c>
      <c r="E39" s="94">
        <f>AZ39*'Sam-Budynki-WSAD'!E39</f>
        <v>75373.850000000006</v>
      </c>
      <c r="F39" s="95">
        <f>D39*(HLOOKUP(Ogolne!$D$6,'Wskazniki emisji elektrycznosc'!$B$8:$G$29,Ogolne!$E$7,TRUE))/1000</f>
        <v>192.465126</v>
      </c>
      <c r="G39" s="709">
        <f>$AZ39*'Sam-Budynki-WSAD'!H39</f>
        <v>56521</v>
      </c>
      <c r="H39" s="94">
        <f>$AZ39*'Sam-Budynki-WSAD'!I39</f>
        <v>70158.97</v>
      </c>
      <c r="I39" s="95">
        <f>G39*'Wskazniki emisji paliw'!M$26</f>
        <v>409.90722917344669</v>
      </c>
      <c r="J39" s="709">
        <f>$AZ39*'Sam-Budynki-WSAD'!L39</f>
        <v>0</v>
      </c>
      <c r="K39" s="94">
        <f>$AZ39*'Sam-Budynki-WSAD'!M39</f>
        <v>0</v>
      </c>
      <c r="L39" s="95">
        <f>J39*'Wskazniki emisji paliw'!M$27</f>
        <v>0</v>
      </c>
      <c r="M39" s="709">
        <f>$AZ39*'Sam-Budynki-WSAD'!O39</f>
        <v>0</v>
      </c>
      <c r="N39" s="94">
        <f>$AZ39*'Sam-Budynki-WSAD'!P39</f>
        <v>0</v>
      </c>
      <c r="O39" s="95">
        <f>M39*'Wskazniki emisji paliw'!L$17</f>
        <v>0</v>
      </c>
      <c r="P39" s="709">
        <f>$AZ39*'Sam-Budynki-WSAD'!R39</f>
        <v>0</v>
      </c>
      <c r="Q39" s="94">
        <f>$AZ39*'Sam-Budynki-WSAD'!S39</f>
        <v>0</v>
      </c>
      <c r="R39" s="95">
        <f>P39*'Wskazniki emisji paliw'!L$18</f>
        <v>0</v>
      </c>
      <c r="S39" s="709">
        <f>$AZ39*'Sam-Budynki-WSAD'!U39</f>
        <v>0</v>
      </c>
      <c r="T39" s="94">
        <f>$AZ39*'Sam-Budynki-WSAD'!V39</f>
        <v>0</v>
      </c>
      <c r="U39" s="95">
        <f>S39*'Wskazniki emisji paliw'!N$10</f>
        <v>0</v>
      </c>
      <c r="V39" s="709">
        <f>$AZ39*'Sam-Budynki-WSAD'!X39</f>
        <v>0</v>
      </c>
      <c r="W39" s="94">
        <f>$AZ39*'Sam-Budynki-WSAD'!Y39</f>
        <v>0</v>
      </c>
      <c r="X39" s="95">
        <f>V39*'Wskazniki emisji paliw'!N$11</f>
        <v>0</v>
      </c>
      <c r="Y39" s="709">
        <f>$AZ39*'Sam-Budynki-WSAD'!AA39</f>
        <v>0</v>
      </c>
      <c r="Z39" s="94">
        <f>$AZ39*'Sam-Budynki-WSAD'!AB39</f>
        <v>0</v>
      </c>
      <c r="AA39" s="95">
        <f>Y39*'Wskazniki emisji paliw'!L$21</f>
        <v>0</v>
      </c>
      <c r="AB39" s="709">
        <f>$AZ39*'Sam-Budynki-WSAD'!AD39</f>
        <v>0</v>
      </c>
      <c r="AC39" s="94">
        <f>$AZ39*'Sam-Budynki-WSAD'!AE39</f>
        <v>0</v>
      </c>
      <c r="AD39" s="95">
        <f>AB39*'Wskazniki emisji paliw'!L$20</f>
        <v>0</v>
      </c>
      <c r="AE39" s="709">
        <f>$AZ39*'Sam-Budynki-WSAD'!AG39</f>
        <v>0</v>
      </c>
      <c r="AF39" s="94">
        <f>$AZ39*'Sam-Budynki-WSAD'!AH39</f>
        <v>0</v>
      </c>
      <c r="AG39" s="95">
        <f>AE39*'Wskazniki emisji paliw'!N$13</f>
        <v>0</v>
      </c>
      <c r="AH39" s="709">
        <f>$AZ39*'Sam-Budynki-WSAD'!AJ39</f>
        <v>328.68333333333334</v>
      </c>
      <c r="AI39" s="94">
        <f>$AZ39*'Sam-Budynki-WSAD'!AK39</f>
        <v>56018.66</v>
      </c>
      <c r="AJ39" s="96">
        <f>AH39*'Wskazniki emisji paliw'!K$35</f>
        <v>106.49340000000001</v>
      </c>
      <c r="AK39" s="5"/>
      <c r="AL39" s="91" t="str">
        <f t="shared" si="0"/>
        <v>Wydział Edukacji, Urząd Miasta Bydgoszczy  - bursy, schroniska</v>
      </c>
      <c r="AM39" s="91" t="str">
        <f t="shared" si="1"/>
        <v>WE</v>
      </c>
      <c r="AN39" s="97">
        <f>'Sam-Budynki-WSAD'!AQ40</f>
        <v>34816.5</v>
      </c>
      <c r="AO39" s="97">
        <f>'Sam-Budynki-WSAD'!AR40</f>
        <v>7933</v>
      </c>
      <c r="AP39" s="97">
        <f>'Sam-Budynki-WSAD'!AS40</f>
        <v>38749.620000000003</v>
      </c>
      <c r="AQ39" s="94">
        <f t="shared" si="2"/>
        <v>201551.48</v>
      </c>
      <c r="AR39" s="95">
        <f t="shared" si="3"/>
        <v>708.86575517344681</v>
      </c>
      <c r="AS39" s="98">
        <f t="shared" si="4"/>
        <v>5.7889644277856762</v>
      </c>
      <c r="AT39" s="98">
        <f t="shared" si="5"/>
        <v>25.406716248581876</v>
      </c>
      <c r="AU39" s="98">
        <f t="shared" si="6"/>
        <v>5.201379523205647</v>
      </c>
      <c r="AV39" s="98">
        <f t="shared" si="7"/>
        <v>2.036005213543713E-2</v>
      </c>
      <c r="AW39" s="98">
        <f t="shared" si="8"/>
        <v>8.9356580760550461E-2</v>
      </c>
      <c r="AX39" s="99">
        <f t="shared" si="9"/>
        <v>1.829348920514438E-2</v>
      </c>
      <c r="AY39" s="100" t="str">
        <f>'Sam-Budynki-WSAD'!BB39</f>
        <v xml:space="preserve"> sonel + uczniowie</v>
      </c>
      <c r="AZ39" s="90">
        <v>1</v>
      </c>
      <c r="BA39" s="90"/>
      <c r="BB39" s="90"/>
      <c r="BC39" s="90"/>
    </row>
    <row r="40" spans="1:55">
      <c r="A40" s="5"/>
      <c r="B40" s="713" t="str">
        <f>'Sam-Budynki-WSAD'!B40</f>
        <v>Wydział Edukacji, Urząd Miasta Bydgoszczy  - gimnazja</v>
      </c>
      <c r="C40" s="726" t="str">
        <f>'Sam-Budynki-WSAD'!C40</f>
        <v>WE</v>
      </c>
      <c r="D40" s="709">
        <f>AZ40*'Sam-Budynki-WSAD'!D40</f>
        <v>422566</v>
      </c>
      <c r="E40" s="94">
        <f>AZ40*'Sam-Budynki-WSAD'!E40</f>
        <v>179779.71</v>
      </c>
      <c r="F40" s="95">
        <f>D40*(HLOOKUP(Ogolne!$D$6,'Wskazniki emisji elektrycznosc'!$B$8:$G$29,Ogolne!$E$7,TRUE))/1000</f>
        <v>414.959812</v>
      </c>
      <c r="G40" s="709">
        <f>$AZ40*'Sam-Budynki-WSAD'!H40</f>
        <v>30330</v>
      </c>
      <c r="H40" s="94">
        <f>$AZ40*'Sam-Budynki-WSAD'!I40</f>
        <v>37576.050000000003</v>
      </c>
      <c r="I40" s="95">
        <f>G40*'Wskazniki emisji paliw'!M$26</f>
        <v>219.96224873641015</v>
      </c>
      <c r="J40" s="709">
        <f>$AZ40*'Sam-Budynki-WSAD'!L40</f>
        <v>0</v>
      </c>
      <c r="K40" s="94">
        <f>$AZ40*'Sam-Budynki-WSAD'!M40</f>
        <v>0</v>
      </c>
      <c r="L40" s="95">
        <f>J40*'Wskazniki emisji paliw'!M$27</f>
        <v>0</v>
      </c>
      <c r="M40" s="709">
        <f>$AZ40*'Sam-Budynki-WSAD'!O40</f>
        <v>0</v>
      </c>
      <c r="N40" s="94">
        <f>$AZ40*'Sam-Budynki-WSAD'!P40</f>
        <v>0</v>
      </c>
      <c r="O40" s="95">
        <f>M40*'Wskazniki emisji paliw'!L$17</f>
        <v>0</v>
      </c>
      <c r="P40" s="709">
        <f>$AZ40*'Sam-Budynki-WSAD'!R40</f>
        <v>0</v>
      </c>
      <c r="Q40" s="94">
        <f>$AZ40*'Sam-Budynki-WSAD'!S40</f>
        <v>0</v>
      </c>
      <c r="R40" s="95">
        <f>P40*'Wskazniki emisji paliw'!L$18</f>
        <v>0</v>
      </c>
      <c r="S40" s="709">
        <f>$AZ40*'Sam-Budynki-WSAD'!U40</f>
        <v>0</v>
      </c>
      <c r="T40" s="94">
        <f>$AZ40*'Sam-Budynki-WSAD'!V40</f>
        <v>0</v>
      </c>
      <c r="U40" s="95">
        <f>S40*'Wskazniki emisji paliw'!N$10</f>
        <v>0</v>
      </c>
      <c r="V40" s="709">
        <f>$AZ40*'Sam-Budynki-WSAD'!X40</f>
        <v>0</v>
      </c>
      <c r="W40" s="94">
        <f>$AZ40*'Sam-Budynki-WSAD'!Y40</f>
        <v>0</v>
      </c>
      <c r="X40" s="95">
        <f>V40*'Wskazniki emisji paliw'!N$11</f>
        <v>0</v>
      </c>
      <c r="Y40" s="709">
        <f>$AZ40*'Sam-Budynki-WSAD'!AA40</f>
        <v>0</v>
      </c>
      <c r="Z40" s="94">
        <f>$AZ40*'Sam-Budynki-WSAD'!AB40</f>
        <v>0</v>
      </c>
      <c r="AA40" s="95">
        <f>Y40*'Wskazniki emisji paliw'!L$21</f>
        <v>0</v>
      </c>
      <c r="AB40" s="709">
        <f>$AZ40*'Sam-Budynki-WSAD'!AD40</f>
        <v>0</v>
      </c>
      <c r="AC40" s="94">
        <f>$AZ40*'Sam-Budynki-WSAD'!AE40</f>
        <v>0</v>
      </c>
      <c r="AD40" s="95">
        <f>AB40*'Wskazniki emisji paliw'!L$20</f>
        <v>0</v>
      </c>
      <c r="AE40" s="709">
        <f>$AZ40*'Sam-Budynki-WSAD'!AG40</f>
        <v>0</v>
      </c>
      <c r="AF40" s="94">
        <f>$AZ40*'Sam-Budynki-WSAD'!AH40</f>
        <v>0</v>
      </c>
      <c r="AG40" s="95">
        <f>AE40*'Wskazniki emisji paliw'!N$13</f>
        <v>0</v>
      </c>
      <c r="AH40" s="709">
        <f>$AZ40*'Sam-Budynki-WSAD'!AJ40</f>
        <v>6349.8888888888887</v>
      </c>
      <c r="AI40" s="94">
        <f>$AZ40*'Sam-Budynki-WSAD'!AK40</f>
        <v>1142745.2000000002</v>
      </c>
      <c r="AJ40" s="96">
        <f>AH40*'Wskazniki emisji paliw'!K$35</f>
        <v>2057.364</v>
      </c>
      <c r="AK40" s="5"/>
      <c r="AL40" s="91" t="str">
        <f t="shared" si="0"/>
        <v>Wydział Edukacji, Urząd Miasta Bydgoszczy  - gimnazja</v>
      </c>
      <c r="AM40" s="91" t="str">
        <f t="shared" ref="AM40:AM60" si="10">C40</f>
        <v>WE</v>
      </c>
      <c r="AN40" s="97">
        <f>'Sam-Budynki-WSAD'!AQ41</f>
        <v>10572</v>
      </c>
      <c r="AO40" s="97">
        <f>'Sam-Budynki-WSAD'!AR41</f>
        <v>1986</v>
      </c>
      <c r="AP40" s="97">
        <f>'Sam-Budynki-WSAD'!AS41</f>
        <v>7861.7</v>
      </c>
      <c r="AQ40" s="94">
        <f t="shared" si="2"/>
        <v>1360100.9600000002</v>
      </c>
      <c r="AR40" s="95">
        <f t="shared" si="3"/>
        <v>2692.28606073641</v>
      </c>
      <c r="AS40" s="98">
        <f t="shared" si="4"/>
        <v>128.65124479757853</v>
      </c>
      <c r="AT40" s="98">
        <f t="shared" si="5"/>
        <v>684.84439073514613</v>
      </c>
      <c r="AU40" s="98">
        <f t="shared" si="6"/>
        <v>173.00341656384754</v>
      </c>
      <c r="AV40" s="98">
        <f t="shared" si="7"/>
        <v>0.25466194293760974</v>
      </c>
      <c r="AW40" s="98">
        <f t="shared" si="8"/>
        <v>1.3556324575712035</v>
      </c>
      <c r="AX40" s="99">
        <f t="shared" si="9"/>
        <v>0.34245596508851905</v>
      </c>
      <c r="AY40" s="100" t="str">
        <f>'Sam-Budynki-WSAD'!BB40</f>
        <v xml:space="preserve"> sonel + uczniowie</v>
      </c>
      <c r="AZ40" s="90">
        <v>1</v>
      </c>
      <c r="BA40" s="90"/>
      <c r="BB40" s="90"/>
      <c r="BC40" s="90"/>
    </row>
    <row r="41" spans="1:55">
      <c r="A41" s="5"/>
      <c r="B41" s="713" t="str">
        <f>'Sam-Budynki-WSAD'!B41</f>
        <v>Wydział Edukacji, Urząd Miasta Bydgoszczy  - inne szkoły</v>
      </c>
      <c r="C41" s="726" t="str">
        <f>'Sam-Budynki-WSAD'!C41</f>
        <v>WE</v>
      </c>
      <c r="D41" s="709">
        <f>AZ41*'Sam-Budynki-WSAD'!D41</f>
        <v>161200</v>
      </c>
      <c r="E41" s="94">
        <f>AZ41*'Sam-Budynki-WSAD'!E41</f>
        <v>72711.51999999999</v>
      </c>
      <c r="F41" s="95">
        <f>D41*(HLOOKUP(Ogolne!$D$6,'Wskazniki emisji elektrycznosc'!$B$8:$G$29,Ogolne!$E$7,TRUE))/1000</f>
        <v>158.29839999999999</v>
      </c>
      <c r="G41" s="709">
        <f>$AZ41*'Sam-Budynki-WSAD'!H41</f>
        <v>188</v>
      </c>
      <c r="H41" s="94">
        <f>$AZ41*'Sam-Budynki-WSAD'!I41</f>
        <v>366.28999999999996</v>
      </c>
      <c r="I41" s="95">
        <f>G41*'Wskazniki emisji paliw'!M$26</f>
        <v>1.3634323363813092</v>
      </c>
      <c r="J41" s="709">
        <f>$AZ41*'Sam-Budynki-WSAD'!L41</f>
        <v>0</v>
      </c>
      <c r="K41" s="94">
        <f>$AZ41*'Sam-Budynki-WSAD'!M41</f>
        <v>0</v>
      </c>
      <c r="L41" s="95">
        <f>J41*'Wskazniki emisji paliw'!M$27</f>
        <v>0</v>
      </c>
      <c r="M41" s="709">
        <f>$AZ41*'Sam-Budynki-WSAD'!O41</f>
        <v>0</v>
      </c>
      <c r="N41" s="94">
        <f>$AZ41*'Sam-Budynki-WSAD'!P41</f>
        <v>0</v>
      </c>
      <c r="O41" s="95">
        <f>M41*'Wskazniki emisji paliw'!L$17</f>
        <v>0</v>
      </c>
      <c r="P41" s="709">
        <f>$AZ41*'Sam-Budynki-WSAD'!R41</f>
        <v>0</v>
      </c>
      <c r="Q41" s="94">
        <f>$AZ41*'Sam-Budynki-WSAD'!S41</f>
        <v>0</v>
      </c>
      <c r="R41" s="95">
        <f>P41*'Wskazniki emisji paliw'!L$18</f>
        <v>0</v>
      </c>
      <c r="S41" s="709">
        <f>$AZ41*'Sam-Budynki-WSAD'!U41</f>
        <v>0</v>
      </c>
      <c r="T41" s="94">
        <f>$AZ41*'Sam-Budynki-WSAD'!V41</f>
        <v>0</v>
      </c>
      <c r="U41" s="95">
        <f>S41*'Wskazniki emisji paliw'!N$10</f>
        <v>0</v>
      </c>
      <c r="V41" s="709">
        <f>$AZ41*'Sam-Budynki-WSAD'!X41</f>
        <v>0</v>
      </c>
      <c r="W41" s="94">
        <f>$AZ41*'Sam-Budynki-WSAD'!Y41</f>
        <v>0</v>
      </c>
      <c r="X41" s="95">
        <f>V41*'Wskazniki emisji paliw'!N$11</f>
        <v>0</v>
      </c>
      <c r="Y41" s="709">
        <f>$AZ41*'Sam-Budynki-WSAD'!AA41</f>
        <v>0</v>
      </c>
      <c r="Z41" s="94">
        <f>$AZ41*'Sam-Budynki-WSAD'!AB41</f>
        <v>0</v>
      </c>
      <c r="AA41" s="95">
        <f>Y41*'Wskazniki emisji paliw'!L$21</f>
        <v>0</v>
      </c>
      <c r="AB41" s="709">
        <f>$AZ41*'Sam-Budynki-WSAD'!AD41</f>
        <v>0</v>
      </c>
      <c r="AC41" s="94">
        <f>$AZ41*'Sam-Budynki-WSAD'!AE41</f>
        <v>0</v>
      </c>
      <c r="AD41" s="95">
        <f>AB41*'Wskazniki emisji paliw'!L$20</f>
        <v>0</v>
      </c>
      <c r="AE41" s="709">
        <f>$AZ41*'Sam-Budynki-WSAD'!AG41</f>
        <v>0</v>
      </c>
      <c r="AF41" s="94">
        <f>$AZ41*'Sam-Budynki-WSAD'!AH41</f>
        <v>0</v>
      </c>
      <c r="AG41" s="95">
        <f>AE41*'Wskazniki emisji paliw'!N$13</f>
        <v>0</v>
      </c>
      <c r="AH41" s="709">
        <f>$AZ41*'Sam-Budynki-WSAD'!AJ41</f>
        <v>1470.161111111111</v>
      </c>
      <c r="AI41" s="94">
        <f>$AZ41*'Sam-Budynki-WSAD'!AK41</f>
        <v>277364.83</v>
      </c>
      <c r="AJ41" s="96">
        <f>AH41*'Wskazniki emisji paliw'!K$35</f>
        <v>476.3322</v>
      </c>
      <c r="AK41" s="5"/>
      <c r="AL41" s="91" t="str">
        <f t="shared" ref="AL41:AL60" si="11">B41</f>
        <v>Wydział Edukacji, Urząd Miasta Bydgoszczy  - inne szkoły</v>
      </c>
      <c r="AM41" s="91" t="str">
        <f t="shared" si="10"/>
        <v>WE</v>
      </c>
      <c r="AN41" s="97">
        <f>'Sam-Budynki-WSAD'!AQ42</f>
        <v>18511.5</v>
      </c>
      <c r="AO41" s="97">
        <f>'Sam-Budynki-WSAD'!AR42</f>
        <v>10639</v>
      </c>
      <c r="AP41" s="97">
        <f>'Sam-Budynki-WSAD'!AS42</f>
        <v>10559.320000000002</v>
      </c>
      <c r="AQ41" s="94">
        <f t="shared" ref="AQ41:AQ60" si="12">E41+H41+K41+N41+Q41+T41+W41+Z41+AC41+AF41+AI41</f>
        <v>350442.64</v>
      </c>
      <c r="AR41" s="95">
        <f t="shared" ref="AR41:AR60" si="13">F41+I41+L41+O41+R41+U41+X41+AA41+AD41+AG41+AJ41</f>
        <v>635.99403233638134</v>
      </c>
      <c r="AS41" s="98">
        <f t="shared" si="4"/>
        <v>18.931077438349135</v>
      </c>
      <c r="AT41" s="98">
        <f t="shared" si="5"/>
        <v>32.939434157345616</v>
      </c>
      <c r="AU41" s="98">
        <f t="shared" si="6"/>
        <v>33.187993166226612</v>
      </c>
      <c r="AV41" s="98">
        <f t="shared" si="7"/>
        <v>3.4356698935060978E-2</v>
      </c>
      <c r="AW41" s="98">
        <f t="shared" si="8"/>
        <v>5.9779493593042708E-2</v>
      </c>
      <c r="AX41" s="99">
        <f t="shared" si="9"/>
        <v>6.0230586092322354E-2</v>
      </c>
      <c r="AY41" s="100" t="str">
        <f>'Sam-Budynki-WSAD'!BB41</f>
        <v xml:space="preserve"> sonel + uczniowie</v>
      </c>
      <c r="AZ41" s="90">
        <v>1</v>
      </c>
      <c r="BA41" s="90"/>
      <c r="BB41" s="90"/>
      <c r="BC41" s="90"/>
    </row>
    <row r="42" spans="1:55">
      <c r="A42" s="5"/>
      <c r="B42" s="713" t="str">
        <f>'Sam-Budynki-WSAD'!B42</f>
        <v>Wydział Edukacji, Urząd Miasta Bydgoszczy  - MDK</v>
      </c>
      <c r="C42" s="726" t="str">
        <f>'Sam-Budynki-WSAD'!C42</f>
        <v>WE</v>
      </c>
      <c r="D42" s="709">
        <f>AZ42*'Sam-Budynki-WSAD'!D42</f>
        <v>400053</v>
      </c>
      <c r="E42" s="94">
        <f>AZ42*'Sam-Budynki-WSAD'!E42</f>
        <v>160976.24000000002</v>
      </c>
      <c r="F42" s="95">
        <f>D42*(HLOOKUP(Ogolne!$D$6,'Wskazniki emisji elektrycznosc'!$B$8:$G$29,Ogolne!$E$7,TRUE))/1000</f>
        <v>392.85204599999997</v>
      </c>
      <c r="G42" s="709">
        <f>$AZ42*'Sam-Budynki-WSAD'!H42</f>
        <v>2115</v>
      </c>
      <c r="H42" s="94">
        <f>$AZ42*'Sam-Budynki-WSAD'!I42</f>
        <v>2858.88</v>
      </c>
      <c r="I42" s="95">
        <f>G42*'Wskazniki emisji paliw'!M$26</f>
        <v>15.338613784289729</v>
      </c>
      <c r="J42" s="709">
        <f>$AZ42*'Sam-Budynki-WSAD'!L42</f>
        <v>0</v>
      </c>
      <c r="K42" s="94">
        <f>$AZ42*'Sam-Budynki-WSAD'!M42</f>
        <v>0</v>
      </c>
      <c r="L42" s="95">
        <f>J42*'Wskazniki emisji paliw'!M$27</f>
        <v>0</v>
      </c>
      <c r="M42" s="709">
        <f>$AZ42*'Sam-Budynki-WSAD'!O42</f>
        <v>0</v>
      </c>
      <c r="N42" s="94">
        <f>$AZ42*'Sam-Budynki-WSAD'!P42</f>
        <v>0</v>
      </c>
      <c r="O42" s="95">
        <f>M42*'Wskazniki emisji paliw'!L$17</f>
        <v>0</v>
      </c>
      <c r="P42" s="709">
        <f>$AZ42*'Sam-Budynki-WSAD'!R42</f>
        <v>0</v>
      </c>
      <c r="Q42" s="94">
        <f>$AZ42*'Sam-Budynki-WSAD'!S42</f>
        <v>0</v>
      </c>
      <c r="R42" s="95">
        <f>P42*'Wskazniki emisji paliw'!L$18</f>
        <v>0</v>
      </c>
      <c r="S42" s="709">
        <f>$AZ42*'Sam-Budynki-WSAD'!U42</f>
        <v>0</v>
      </c>
      <c r="T42" s="94">
        <f>$AZ42*'Sam-Budynki-WSAD'!V42</f>
        <v>0</v>
      </c>
      <c r="U42" s="95">
        <f>S42*'Wskazniki emisji paliw'!N$10</f>
        <v>0</v>
      </c>
      <c r="V42" s="709">
        <f>$AZ42*'Sam-Budynki-WSAD'!X42</f>
        <v>0</v>
      </c>
      <c r="W42" s="94">
        <f>$AZ42*'Sam-Budynki-WSAD'!Y42</f>
        <v>0</v>
      </c>
      <c r="X42" s="95">
        <f>V42*'Wskazniki emisji paliw'!N$11</f>
        <v>0</v>
      </c>
      <c r="Y42" s="709">
        <f>$AZ42*'Sam-Budynki-WSAD'!AA42</f>
        <v>0</v>
      </c>
      <c r="Z42" s="94">
        <f>$AZ42*'Sam-Budynki-WSAD'!AB42</f>
        <v>0</v>
      </c>
      <c r="AA42" s="95">
        <f>Y42*'Wskazniki emisji paliw'!L$21</f>
        <v>0</v>
      </c>
      <c r="AB42" s="709">
        <f>$AZ42*'Sam-Budynki-WSAD'!AD42</f>
        <v>0</v>
      </c>
      <c r="AC42" s="94">
        <f>$AZ42*'Sam-Budynki-WSAD'!AE42</f>
        <v>0</v>
      </c>
      <c r="AD42" s="95">
        <f>AB42*'Wskazniki emisji paliw'!L$20</f>
        <v>0</v>
      </c>
      <c r="AE42" s="709">
        <f>$AZ42*'Sam-Budynki-WSAD'!AG42</f>
        <v>0</v>
      </c>
      <c r="AF42" s="94">
        <f>$AZ42*'Sam-Budynki-WSAD'!AH42</f>
        <v>0</v>
      </c>
      <c r="AG42" s="95">
        <f>AE42*'Wskazniki emisji paliw'!N$13</f>
        <v>0</v>
      </c>
      <c r="AH42" s="709">
        <f>$AZ42*'Sam-Budynki-WSAD'!AJ42</f>
        <v>2365.4166666666665</v>
      </c>
      <c r="AI42" s="94">
        <f>$AZ42*'Sam-Budynki-WSAD'!AK42</f>
        <v>466558.82</v>
      </c>
      <c r="AJ42" s="96">
        <f>AH42*'Wskazniki emisji paliw'!K$35</f>
        <v>766.39499999999998</v>
      </c>
      <c r="AK42" s="5"/>
      <c r="AL42" s="91" t="str">
        <f t="shared" si="11"/>
        <v>Wydział Edukacji, Urząd Miasta Bydgoszczy  - MDK</v>
      </c>
      <c r="AM42" s="91" t="str">
        <f t="shared" si="10"/>
        <v>WE</v>
      </c>
      <c r="AN42" s="97">
        <f>'Sam-Budynki-WSAD'!AQ43</f>
        <v>8760</v>
      </c>
      <c r="AO42" s="97">
        <f>'Sam-Budynki-WSAD'!AR43</f>
        <v>376</v>
      </c>
      <c r="AP42" s="97">
        <f>'Sam-Budynki-WSAD'!AS43</f>
        <v>2677</v>
      </c>
      <c r="AQ42" s="94">
        <f t="shared" si="12"/>
        <v>630393.94000000006</v>
      </c>
      <c r="AR42" s="95">
        <f t="shared" si="13"/>
        <v>1174.5856597842896</v>
      </c>
      <c r="AS42" s="98">
        <f t="shared" ref="AS42:AS60" si="14">IFERROR(AQ42/AN42,"")</f>
        <v>71.962778538812799</v>
      </c>
      <c r="AT42" s="98">
        <f t="shared" ref="AT42:AT60" si="15">IFERROR(AQ42/AO42,"")</f>
        <v>1676.5796276595747</v>
      </c>
      <c r="AU42" s="98">
        <f t="shared" ref="AU42:AU60" si="16">IFERROR(AQ42/AP42,"")</f>
        <v>235.48522226372808</v>
      </c>
      <c r="AV42" s="98">
        <f t="shared" ref="AV42:AV60" si="17">IFERROR(AR42/AN42,"")</f>
        <v>0.13408512097994174</v>
      </c>
      <c r="AW42" s="98">
        <f t="shared" ref="AW42:AW60" si="18">IFERROR(AR42/AO42,"")</f>
        <v>3.1238980313411959</v>
      </c>
      <c r="AX42" s="99">
        <f t="shared" ref="AX42:AX60" si="19">IFERROR(AR42/AP42,"")</f>
        <v>0.43876939102887175</v>
      </c>
      <c r="AY42" s="100" t="str">
        <f>'Sam-Budynki-WSAD'!BB42</f>
        <v xml:space="preserve"> sonel + uczniowie</v>
      </c>
      <c r="AZ42" s="90">
        <v>1</v>
      </c>
      <c r="BA42" s="90"/>
      <c r="BB42" s="90"/>
      <c r="BC42" s="90"/>
    </row>
    <row r="43" spans="1:55">
      <c r="A43" s="5"/>
      <c r="B43" s="713" t="str">
        <f>'Sam-Budynki-WSAD'!B43</f>
        <v>Wydział Edukacji, Urząd Miasta Bydgoszczy  - ośrodki</v>
      </c>
      <c r="C43" s="726" t="str">
        <f>'Sam-Budynki-WSAD'!C43</f>
        <v>WE</v>
      </c>
      <c r="D43" s="709">
        <f>AZ43*'Sam-Budynki-WSAD'!D43</f>
        <v>66779</v>
      </c>
      <c r="E43" s="94">
        <f>AZ43*'Sam-Budynki-WSAD'!E43</f>
        <v>26331.22</v>
      </c>
      <c r="F43" s="95">
        <f>D43*(HLOOKUP(Ogolne!$D$6,'Wskazniki emisji elektrycznosc'!$B$8:$G$29,Ogolne!$E$7,TRUE))/1000</f>
        <v>65.576977999999997</v>
      </c>
      <c r="G43" s="709">
        <f>$AZ43*'Sam-Budynki-WSAD'!H43</f>
        <v>2417</v>
      </c>
      <c r="H43" s="94">
        <f>$AZ43*'Sam-Budynki-WSAD'!I43</f>
        <v>2956.3</v>
      </c>
      <c r="I43" s="95">
        <f>G43*'Wskazniki emisji paliw'!M$26</f>
        <v>17.528808282093745</v>
      </c>
      <c r="J43" s="709">
        <f>$AZ43*'Sam-Budynki-WSAD'!L43</f>
        <v>0</v>
      </c>
      <c r="K43" s="94">
        <f>$AZ43*'Sam-Budynki-WSAD'!M43</f>
        <v>0</v>
      </c>
      <c r="L43" s="95">
        <f>J43*'Wskazniki emisji paliw'!M$27</f>
        <v>0</v>
      </c>
      <c r="M43" s="709">
        <f>$AZ43*'Sam-Budynki-WSAD'!O43</f>
        <v>0</v>
      </c>
      <c r="N43" s="94">
        <f>$AZ43*'Sam-Budynki-WSAD'!P43</f>
        <v>0</v>
      </c>
      <c r="O43" s="95">
        <f>M43*'Wskazniki emisji paliw'!L$17</f>
        <v>0</v>
      </c>
      <c r="P43" s="709">
        <f>$AZ43*'Sam-Budynki-WSAD'!R43</f>
        <v>0</v>
      </c>
      <c r="Q43" s="94">
        <f>$AZ43*'Sam-Budynki-WSAD'!S43</f>
        <v>0</v>
      </c>
      <c r="R43" s="95">
        <f>P43*'Wskazniki emisji paliw'!L$18</f>
        <v>0</v>
      </c>
      <c r="S43" s="709">
        <f>$AZ43*'Sam-Budynki-WSAD'!U43</f>
        <v>0</v>
      </c>
      <c r="T43" s="94">
        <f>$AZ43*'Sam-Budynki-WSAD'!V43</f>
        <v>0</v>
      </c>
      <c r="U43" s="95">
        <f>S43*'Wskazniki emisji paliw'!N$10</f>
        <v>0</v>
      </c>
      <c r="V43" s="709">
        <f>$AZ43*'Sam-Budynki-WSAD'!X43</f>
        <v>0</v>
      </c>
      <c r="W43" s="94">
        <f>$AZ43*'Sam-Budynki-WSAD'!Y43</f>
        <v>0</v>
      </c>
      <c r="X43" s="95">
        <f>V43*'Wskazniki emisji paliw'!N$11</f>
        <v>0</v>
      </c>
      <c r="Y43" s="709">
        <f>$AZ43*'Sam-Budynki-WSAD'!AA43</f>
        <v>0</v>
      </c>
      <c r="Z43" s="94">
        <f>$AZ43*'Sam-Budynki-WSAD'!AB43</f>
        <v>0</v>
      </c>
      <c r="AA43" s="95">
        <f>Y43*'Wskazniki emisji paliw'!L$21</f>
        <v>0</v>
      </c>
      <c r="AB43" s="709">
        <f>$AZ43*'Sam-Budynki-WSAD'!AD43</f>
        <v>0</v>
      </c>
      <c r="AC43" s="94">
        <f>$AZ43*'Sam-Budynki-WSAD'!AE43</f>
        <v>0</v>
      </c>
      <c r="AD43" s="95">
        <f>AB43*'Wskazniki emisji paliw'!L$20</f>
        <v>0</v>
      </c>
      <c r="AE43" s="709">
        <f>$AZ43*'Sam-Budynki-WSAD'!AG43</f>
        <v>0</v>
      </c>
      <c r="AF43" s="94">
        <f>$AZ43*'Sam-Budynki-WSAD'!AH43</f>
        <v>0</v>
      </c>
      <c r="AG43" s="95">
        <f>AE43*'Wskazniki emisji paliw'!N$13</f>
        <v>0</v>
      </c>
      <c r="AH43" s="709">
        <f>$AZ43*'Sam-Budynki-WSAD'!AJ43</f>
        <v>545.72222222222217</v>
      </c>
      <c r="AI43" s="94">
        <f>$AZ43*'Sam-Budynki-WSAD'!AK43</f>
        <v>88061.4</v>
      </c>
      <c r="AJ43" s="96">
        <f>AH43*'Wskazniki emisji paliw'!K$35</f>
        <v>176.81399999999999</v>
      </c>
      <c r="AK43" s="5"/>
      <c r="AL43" s="91" t="str">
        <f t="shared" si="11"/>
        <v>Wydział Edukacji, Urząd Miasta Bydgoszczy  - ośrodki</v>
      </c>
      <c r="AM43" s="91" t="str">
        <f t="shared" si="10"/>
        <v>WE</v>
      </c>
      <c r="AN43" s="97">
        <f>'Sam-Budynki-WSAD'!AQ44</f>
        <v>5401</v>
      </c>
      <c r="AO43" s="97">
        <f>'Sam-Budynki-WSAD'!AR44</f>
        <v>5086</v>
      </c>
      <c r="AP43" s="97">
        <f>'Sam-Budynki-WSAD'!AS44</f>
        <v>2482.02</v>
      </c>
      <c r="AQ43" s="94">
        <f t="shared" si="12"/>
        <v>117348.92</v>
      </c>
      <c r="AR43" s="95">
        <f t="shared" si="13"/>
        <v>259.91978628209375</v>
      </c>
      <c r="AS43" s="98">
        <f t="shared" si="14"/>
        <v>21.727257915200887</v>
      </c>
      <c r="AT43" s="98">
        <f t="shared" si="15"/>
        <v>23.072929610696029</v>
      </c>
      <c r="AU43" s="98">
        <f t="shared" si="16"/>
        <v>47.27960290408619</v>
      </c>
      <c r="AV43" s="98">
        <f t="shared" si="17"/>
        <v>4.8124381833381552E-2</v>
      </c>
      <c r="AW43" s="98">
        <f t="shared" si="18"/>
        <v>5.1104952080631885E-2</v>
      </c>
      <c r="AX43" s="99">
        <f t="shared" si="19"/>
        <v>0.10472106843703667</v>
      </c>
      <c r="AY43" s="100" t="str">
        <f>'Sam-Budynki-WSAD'!BB43</f>
        <v xml:space="preserve"> sonel + uczniowie</v>
      </c>
      <c r="AZ43" s="90">
        <v>1</v>
      </c>
      <c r="BA43" s="90"/>
      <c r="BB43" s="90"/>
      <c r="BC43" s="90"/>
    </row>
    <row r="44" spans="1:55">
      <c r="A44" s="5"/>
      <c r="B44" s="713" t="str">
        <f>'Sam-Budynki-WSAD'!B44</f>
        <v>Wydział Edukacji, Urząd Miasta Bydgoszczy  - poradnie</v>
      </c>
      <c r="C44" s="726" t="str">
        <f>'Sam-Budynki-WSAD'!C44</f>
        <v>WE</v>
      </c>
      <c r="D44" s="709">
        <f>AZ44*'Sam-Budynki-WSAD'!D44</f>
        <v>35804</v>
      </c>
      <c r="E44" s="94">
        <f>AZ44*'Sam-Budynki-WSAD'!E44</f>
        <v>15046.010000000002</v>
      </c>
      <c r="F44" s="95">
        <f>D44*(HLOOKUP(Ogolne!$D$6,'Wskazniki emisji elektrycznosc'!$B$8:$G$29,Ogolne!$E$7,TRUE))/1000</f>
        <v>35.159528000000002</v>
      </c>
      <c r="G44" s="709">
        <f>$AZ44*'Sam-Budynki-WSAD'!H44</f>
        <v>0</v>
      </c>
      <c r="H44" s="94">
        <f>$AZ44*'Sam-Budynki-WSAD'!I44</f>
        <v>0</v>
      </c>
      <c r="I44" s="95">
        <f>G44*'Wskazniki emisji paliw'!M$26</f>
        <v>0</v>
      </c>
      <c r="J44" s="709">
        <f>$AZ44*'Sam-Budynki-WSAD'!L44</f>
        <v>0</v>
      </c>
      <c r="K44" s="94">
        <f>$AZ44*'Sam-Budynki-WSAD'!M44</f>
        <v>0</v>
      </c>
      <c r="L44" s="95">
        <f>J44*'Wskazniki emisji paliw'!M$27</f>
        <v>0</v>
      </c>
      <c r="M44" s="709">
        <f>$AZ44*'Sam-Budynki-WSAD'!O44</f>
        <v>0</v>
      </c>
      <c r="N44" s="94">
        <f>$AZ44*'Sam-Budynki-WSAD'!P44</f>
        <v>0</v>
      </c>
      <c r="O44" s="95">
        <f>M44*'Wskazniki emisji paliw'!L$17</f>
        <v>0</v>
      </c>
      <c r="P44" s="709">
        <f>$AZ44*'Sam-Budynki-WSAD'!R44</f>
        <v>0</v>
      </c>
      <c r="Q44" s="94">
        <f>$AZ44*'Sam-Budynki-WSAD'!S44</f>
        <v>0</v>
      </c>
      <c r="R44" s="95">
        <f>P44*'Wskazniki emisji paliw'!L$18</f>
        <v>0</v>
      </c>
      <c r="S44" s="709">
        <f>$AZ44*'Sam-Budynki-WSAD'!U44</f>
        <v>0</v>
      </c>
      <c r="T44" s="94">
        <f>$AZ44*'Sam-Budynki-WSAD'!V44</f>
        <v>0</v>
      </c>
      <c r="U44" s="95">
        <f>S44*'Wskazniki emisji paliw'!N$10</f>
        <v>0</v>
      </c>
      <c r="V44" s="709">
        <f>$AZ44*'Sam-Budynki-WSAD'!X44</f>
        <v>0</v>
      </c>
      <c r="W44" s="94">
        <f>$AZ44*'Sam-Budynki-WSAD'!Y44</f>
        <v>0</v>
      </c>
      <c r="X44" s="95">
        <f>V44*'Wskazniki emisji paliw'!N$11</f>
        <v>0</v>
      </c>
      <c r="Y44" s="709">
        <f>$AZ44*'Sam-Budynki-WSAD'!AA44</f>
        <v>0</v>
      </c>
      <c r="Z44" s="94">
        <f>$AZ44*'Sam-Budynki-WSAD'!AB44</f>
        <v>0</v>
      </c>
      <c r="AA44" s="95">
        <f>Y44*'Wskazniki emisji paliw'!L$21</f>
        <v>0</v>
      </c>
      <c r="AB44" s="709">
        <f>$AZ44*'Sam-Budynki-WSAD'!AD44</f>
        <v>0</v>
      </c>
      <c r="AC44" s="94">
        <f>$AZ44*'Sam-Budynki-WSAD'!AE44</f>
        <v>0</v>
      </c>
      <c r="AD44" s="95">
        <f>AB44*'Wskazniki emisji paliw'!L$20</f>
        <v>0</v>
      </c>
      <c r="AE44" s="709">
        <f>$AZ44*'Sam-Budynki-WSAD'!AG44</f>
        <v>0</v>
      </c>
      <c r="AF44" s="94">
        <f>$AZ44*'Sam-Budynki-WSAD'!AH44</f>
        <v>0</v>
      </c>
      <c r="AG44" s="95">
        <f>AE44*'Wskazniki emisji paliw'!N$13</f>
        <v>0</v>
      </c>
      <c r="AH44" s="709">
        <f>$AZ44*'Sam-Budynki-WSAD'!AJ44</f>
        <v>399.55555555555554</v>
      </c>
      <c r="AI44" s="94">
        <f>$AZ44*'Sam-Budynki-WSAD'!AK44</f>
        <v>73237.22</v>
      </c>
      <c r="AJ44" s="96">
        <f>AH44*'Wskazniki emisji paliw'!K$35</f>
        <v>129.45599999999999</v>
      </c>
      <c r="AK44" s="5"/>
      <c r="AL44" s="91" t="str">
        <f t="shared" si="11"/>
        <v>Wydział Edukacji, Urząd Miasta Bydgoszczy  - poradnie</v>
      </c>
      <c r="AM44" s="91" t="str">
        <f t="shared" si="10"/>
        <v>WE</v>
      </c>
      <c r="AN44" s="97">
        <f>'Sam-Budynki-WSAD'!AQ45</f>
        <v>62358</v>
      </c>
      <c r="AO44" s="97">
        <f>'Sam-Budynki-WSAD'!AR45</f>
        <v>4934</v>
      </c>
      <c r="AP44" s="97">
        <f>'Sam-Budynki-WSAD'!AS45</f>
        <v>24116.86</v>
      </c>
      <c r="AQ44" s="94">
        <f t="shared" si="12"/>
        <v>88283.23000000001</v>
      </c>
      <c r="AR44" s="95">
        <f t="shared" si="13"/>
        <v>164.61552799999998</v>
      </c>
      <c r="AS44" s="98">
        <f t="shared" si="14"/>
        <v>1.4157482600468265</v>
      </c>
      <c r="AT44" s="98">
        <f t="shared" si="15"/>
        <v>17.89283137413863</v>
      </c>
      <c r="AU44" s="98">
        <f t="shared" si="16"/>
        <v>3.6606436327117216</v>
      </c>
      <c r="AV44" s="98">
        <f t="shared" si="17"/>
        <v>2.6398461785175917E-3</v>
      </c>
      <c r="AW44" s="98">
        <f t="shared" si="18"/>
        <v>3.3363503850830964E-2</v>
      </c>
      <c r="AX44" s="99">
        <f t="shared" si="19"/>
        <v>6.8257446450325611E-3</v>
      </c>
      <c r="AY44" s="100" t="str">
        <f>'Sam-Budynki-WSAD'!BB44</f>
        <v xml:space="preserve"> sonel + uczniowie</v>
      </c>
      <c r="AZ44" s="90">
        <v>1</v>
      </c>
      <c r="BA44" s="90"/>
      <c r="BB44" s="90"/>
      <c r="BC44" s="90"/>
    </row>
    <row r="45" spans="1:55">
      <c r="A45" s="5"/>
      <c r="B45" s="713" t="str">
        <f>'Sam-Budynki-WSAD'!B45</f>
        <v>Wydział Edukacji, Urząd Miasta Bydgoszczy  - przedszkola</v>
      </c>
      <c r="C45" s="726" t="str">
        <f>'Sam-Budynki-WSAD'!C45</f>
        <v>WE</v>
      </c>
      <c r="D45" s="709">
        <f>AZ45*'Sam-Budynki-WSAD'!D45</f>
        <v>438668.58</v>
      </c>
      <c r="E45" s="94">
        <f>AZ45*'Sam-Budynki-WSAD'!E45</f>
        <v>187556.42999999996</v>
      </c>
      <c r="F45" s="95">
        <f>D45*(HLOOKUP(Ogolne!$D$6,'Wskazniki emisji elektrycznosc'!$B$8:$G$29,Ogolne!$E$7,TRUE))/1000</f>
        <v>430.77254556000003</v>
      </c>
      <c r="G45" s="709">
        <f>$AZ45*'Sam-Budynki-WSAD'!H45</f>
        <v>78078</v>
      </c>
      <c r="H45" s="94">
        <f>$AZ45*'Sam-Budynki-WSAD'!I45</f>
        <v>93407.16</v>
      </c>
      <c r="I45" s="95">
        <f>G45*'Wskazniki emisji paliw'!M$26</f>
        <v>566.24505297861629</v>
      </c>
      <c r="J45" s="709">
        <f>$AZ45*'Sam-Budynki-WSAD'!L45</f>
        <v>0</v>
      </c>
      <c r="K45" s="94">
        <f>$AZ45*'Sam-Budynki-WSAD'!M45</f>
        <v>0</v>
      </c>
      <c r="L45" s="95">
        <f>J45*'Wskazniki emisji paliw'!M$27</f>
        <v>0</v>
      </c>
      <c r="M45" s="709">
        <f>$AZ45*'Sam-Budynki-WSAD'!O45</f>
        <v>10120</v>
      </c>
      <c r="N45" s="94">
        <f>$AZ45*'Sam-Budynki-WSAD'!P45</f>
        <v>20485.2</v>
      </c>
      <c r="O45" s="95">
        <f>M45*'Wskazniki emisji paliw'!L$17</f>
        <v>28.035809326799999</v>
      </c>
      <c r="P45" s="709">
        <f>$AZ45*'Sam-Budynki-WSAD'!R45</f>
        <v>0</v>
      </c>
      <c r="Q45" s="94">
        <f>$AZ45*'Sam-Budynki-WSAD'!S45</f>
        <v>0</v>
      </c>
      <c r="R45" s="95">
        <f>P45*'Wskazniki emisji paliw'!L$18</f>
        <v>0</v>
      </c>
      <c r="S45" s="709">
        <f>$AZ45*'Sam-Budynki-WSAD'!U45</f>
        <v>0</v>
      </c>
      <c r="T45" s="94">
        <f>$AZ45*'Sam-Budynki-WSAD'!V45</f>
        <v>0</v>
      </c>
      <c r="U45" s="95">
        <f>S45*'Wskazniki emisji paliw'!N$10</f>
        <v>0</v>
      </c>
      <c r="V45" s="709">
        <f>$AZ45*'Sam-Budynki-WSAD'!X45</f>
        <v>0</v>
      </c>
      <c r="W45" s="94">
        <f>$AZ45*'Sam-Budynki-WSAD'!Y45</f>
        <v>0</v>
      </c>
      <c r="X45" s="95">
        <f>V45*'Wskazniki emisji paliw'!N$11</f>
        <v>0</v>
      </c>
      <c r="Y45" s="709">
        <f>$AZ45*'Sam-Budynki-WSAD'!AA45</f>
        <v>0</v>
      </c>
      <c r="Z45" s="94">
        <f>$AZ45*'Sam-Budynki-WSAD'!AB45</f>
        <v>0</v>
      </c>
      <c r="AA45" s="95">
        <f>Y45*'Wskazniki emisji paliw'!L$21</f>
        <v>0</v>
      </c>
      <c r="AB45" s="709">
        <f>$AZ45*'Sam-Budynki-WSAD'!AD45</f>
        <v>0</v>
      </c>
      <c r="AC45" s="94">
        <f>$AZ45*'Sam-Budynki-WSAD'!AE45</f>
        <v>0</v>
      </c>
      <c r="AD45" s="95">
        <f>AB45*'Wskazniki emisji paliw'!L$20</f>
        <v>0</v>
      </c>
      <c r="AE45" s="709">
        <f>$AZ45*'Sam-Budynki-WSAD'!AG45</f>
        <v>0</v>
      </c>
      <c r="AF45" s="94">
        <f>$AZ45*'Sam-Budynki-WSAD'!AH45</f>
        <v>0</v>
      </c>
      <c r="AG45" s="95">
        <f>AE45*'Wskazniki emisji paliw'!N$13</f>
        <v>0</v>
      </c>
      <c r="AH45" s="709">
        <f>$AZ45*'Sam-Budynki-WSAD'!AJ45</f>
        <v>3539.0166666666664</v>
      </c>
      <c r="AI45" s="94">
        <f>$AZ45*'Sam-Budynki-WSAD'!AK45</f>
        <v>707597.92999999993</v>
      </c>
      <c r="AJ45" s="96">
        <f>AH45*'Wskazniki emisji paliw'!K$35</f>
        <v>1146.6414</v>
      </c>
      <c r="AK45" s="5"/>
      <c r="AL45" s="91" t="str">
        <f t="shared" si="11"/>
        <v>Wydział Edukacji, Urząd Miasta Bydgoszczy  - przedszkola</v>
      </c>
      <c r="AM45" s="91" t="str">
        <f t="shared" si="10"/>
        <v>WE</v>
      </c>
      <c r="AN45" s="97">
        <f>'Sam-Budynki-WSAD'!AQ46</f>
        <v>71413</v>
      </c>
      <c r="AO45" s="97">
        <f>'Sam-Budynki-WSAD'!AR46</f>
        <v>10927</v>
      </c>
      <c r="AP45" s="97">
        <f>'Sam-Budynki-WSAD'!AS46</f>
        <v>88669.61</v>
      </c>
      <c r="AQ45" s="94">
        <f t="shared" si="12"/>
        <v>1009046.72</v>
      </c>
      <c r="AR45" s="95">
        <f t="shared" si="13"/>
        <v>2171.6948078654164</v>
      </c>
      <c r="AS45" s="98">
        <f t="shared" si="14"/>
        <v>14.129734362090936</v>
      </c>
      <c r="AT45" s="98">
        <f t="shared" si="15"/>
        <v>92.344350690949028</v>
      </c>
      <c r="AU45" s="98">
        <f t="shared" si="16"/>
        <v>11.379848405784124</v>
      </c>
      <c r="AV45" s="98">
        <f t="shared" si="17"/>
        <v>3.0410356767891229E-2</v>
      </c>
      <c r="AW45" s="98">
        <f t="shared" si="18"/>
        <v>0.19874574978177142</v>
      </c>
      <c r="AX45" s="99">
        <f t="shared" si="19"/>
        <v>2.4491985561517823E-2</v>
      </c>
      <c r="AY45" s="100" t="str">
        <f>'Sam-Budynki-WSAD'!BB45</f>
        <v xml:space="preserve"> sonel + uczniowie</v>
      </c>
      <c r="AZ45" s="90">
        <v>1</v>
      </c>
      <c r="BA45" s="90"/>
      <c r="BB45" s="90"/>
      <c r="BC45" s="90"/>
    </row>
    <row r="46" spans="1:55">
      <c r="A46" s="5"/>
      <c r="B46" s="713" t="str">
        <f>'Sam-Budynki-WSAD'!B46</f>
        <v>Wydział Edukacji, Urząd Miasta Bydgoszczy  - szkoły podstawowe</v>
      </c>
      <c r="C46" s="726" t="str">
        <f>'Sam-Budynki-WSAD'!C46</f>
        <v>WE</v>
      </c>
      <c r="D46" s="709">
        <f>AZ46*'Sam-Budynki-WSAD'!D46</f>
        <v>1524577</v>
      </c>
      <c r="E46" s="94">
        <f>AZ46*'Sam-Budynki-WSAD'!E46</f>
        <v>778044.1399999999</v>
      </c>
      <c r="F46" s="95">
        <f>D46*(HLOOKUP(Ogolne!$D$6,'Wskazniki emisji elektrycznosc'!$B$8:$G$29,Ogolne!$E$7,TRUE))/1000</f>
        <v>1497.1346140000001</v>
      </c>
      <c r="G46" s="709">
        <f>$AZ46*'Sam-Budynki-WSAD'!H46</f>
        <v>335518</v>
      </c>
      <c r="H46" s="94">
        <f>$AZ46*'Sam-Budynki-WSAD'!I46</f>
        <v>385463.56999999995</v>
      </c>
      <c r="I46" s="95">
        <f>G46*'Wskazniki emisji paliw'!M$26</f>
        <v>2433.2770778616177</v>
      </c>
      <c r="J46" s="709">
        <f>$AZ46*'Sam-Budynki-WSAD'!L46</f>
        <v>0</v>
      </c>
      <c r="K46" s="94">
        <f>$AZ46*'Sam-Budynki-WSAD'!M46</f>
        <v>0</v>
      </c>
      <c r="L46" s="95">
        <f>J46*'Wskazniki emisji paliw'!M$27</f>
        <v>0</v>
      </c>
      <c r="M46" s="709">
        <f>$AZ46*'Sam-Budynki-WSAD'!O46</f>
        <v>26670</v>
      </c>
      <c r="N46" s="94">
        <f>$AZ46*'Sam-Budynki-WSAD'!P46</f>
        <v>55742.04</v>
      </c>
      <c r="O46" s="95">
        <f>M46*'Wskazniki emisji paliw'!L$17</f>
        <v>73.88488485629999</v>
      </c>
      <c r="P46" s="709">
        <f>$AZ46*'Sam-Budynki-WSAD'!R46</f>
        <v>0</v>
      </c>
      <c r="Q46" s="94">
        <f>$AZ46*'Sam-Budynki-WSAD'!S46</f>
        <v>0</v>
      </c>
      <c r="R46" s="95">
        <f>P46*'Wskazniki emisji paliw'!L$18</f>
        <v>0</v>
      </c>
      <c r="S46" s="709">
        <f>$AZ46*'Sam-Budynki-WSAD'!U46</f>
        <v>0</v>
      </c>
      <c r="T46" s="94">
        <f>$AZ46*'Sam-Budynki-WSAD'!V46</f>
        <v>0</v>
      </c>
      <c r="U46" s="95">
        <f>S46*'Wskazniki emisji paliw'!N$10</f>
        <v>0</v>
      </c>
      <c r="V46" s="709">
        <f>$AZ46*'Sam-Budynki-WSAD'!X46</f>
        <v>0</v>
      </c>
      <c r="W46" s="94">
        <f>$AZ46*'Sam-Budynki-WSAD'!Y46</f>
        <v>0</v>
      </c>
      <c r="X46" s="95">
        <f>V46*'Wskazniki emisji paliw'!N$11</f>
        <v>0</v>
      </c>
      <c r="Y46" s="709">
        <f>$AZ46*'Sam-Budynki-WSAD'!AA46</f>
        <v>0</v>
      </c>
      <c r="Z46" s="94">
        <f>$AZ46*'Sam-Budynki-WSAD'!AB46</f>
        <v>0</v>
      </c>
      <c r="AA46" s="95">
        <f>Y46*'Wskazniki emisji paliw'!L$21</f>
        <v>0</v>
      </c>
      <c r="AB46" s="709">
        <f>$AZ46*'Sam-Budynki-WSAD'!AD46</f>
        <v>0</v>
      </c>
      <c r="AC46" s="94">
        <f>$AZ46*'Sam-Budynki-WSAD'!AE46</f>
        <v>0</v>
      </c>
      <c r="AD46" s="95">
        <f>AB46*'Wskazniki emisji paliw'!L$20</f>
        <v>0</v>
      </c>
      <c r="AE46" s="709">
        <f>$AZ46*'Sam-Budynki-WSAD'!AG46</f>
        <v>0</v>
      </c>
      <c r="AF46" s="94">
        <f>$AZ46*'Sam-Budynki-WSAD'!AH46</f>
        <v>0</v>
      </c>
      <c r="AG46" s="95">
        <f>AE46*'Wskazniki emisji paliw'!N$13</f>
        <v>0</v>
      </c>
      <c r="AH46" s="709">
        <f>$AZ46*'Sam-Budynki-WSAD'!AJ46</f>
        <v>12195.388888888887</v>
      </c>
      <c r="AI46" s="94">
        <f>$AZ46*'Sam-Budynki-WSAD'!AK46</f>
        <v>1884236.51</v>
      </c>
      <c r="AJ46" s="96">
        <f>AH46*'Wskazniki emisji paliw'!K$35</f>
        <v>3951.3059999999996</v>
      </c>
      <c r="AK46" s="5"/>
      <c r="AL46" s="91" t="str">
        <f t="shared" si="11"/>
        <v>Wydział Edukacji, Urząd Miasta Bydgoszczy  - szkoły podstawowe</v>
      </c>
      <c r="AM46" s="91" t="str">
        <f t="shared" si="10"/>
        <v>WE</v>
      </c>
      <c r="AN46" s="97">
        <f>'Sam-Budynki-WSAD'!AQ47</f>
        <v>218447.3</v>
      </c>
      <c r="AO46" s="97">
        <f>'Sam-Budynki-WSAD'!AR47</f>
        <v>42042</v>
      </c>
      <c r="AP46" s="97">
        <f>'Sam-Budynki-WSAD'!AS47</f>
        <v>253652.03999999998</v>
      </c>
      <c r="AQ46" s="94">
        <f t="shared" si="12"/>
        <v>3103486.26</v>
      </c>
      <c r="AR46" s="95">
        <f t="shared" si="13"/>
        <v>7955.6025767179171</v>
      </c>
      <c r="AS46" s="98">
        <f t="shared" si="14"/>
        <v>14.207025035328886</v>
      </c>
      <c r="AT46" s="98">
        <f t="shared" si="15"/>
        <v>73.818711288711285</v>
      </c>
      <c r="AU46" s="98">
        <f t="shared" si="16"/>
        <v>12.235211118349374</v>
      </c>
      <c r="AV46" s="98">
        <f t="shared" si="17"/>
        <v>3.6418864306026755E-2</v>
      </c>
      <c r="AW46" s="98">
        <f t="shared" si="18"/>
        <v>0.18922987909038383</v>
      </c>
      <c r="AX46" s="99">
        <f t="shared" si="19"/>
        <v>3.1364236521487933E-2</v>
      </c>
      <c r="AY46" s="100" t="str">
        <f>'Sam-Budynki-WSAD'!BB46</f>
        <v xml:space="preserve"> sonel + uczniowie</v>
      </c>
      <c r="AZ46" s="90">
        <v>1</v>
      </c>
      <c r="BA46" s="90"/>
      <c r="BB46" s="90"/>
      <c r="BC46" s="90"/>
    </row>
    <row r="47" spans="1:55">
      <c r="A47" s="5"/>
      <c r="B47" s="713" t="str">
        <f>'Sam-Budynki-WSAD'!B47</f>
        <v>Wydział Edukacji, Urząd Miasta Bydgoszczy  - zespoły szkół</v>
      </c>
      <c r="C47" s="726" t="str">
        <f>'Sam-Budynki-WSAD'!C47</f>
        <v>WE</v>
      </c>
      <c r="D47" s="709">
        <f>AZ47*'Sam-Budynki-WSAD'!D47</f>
        <v>5115169.38</v>
      </c>
      <c r="E47" s="94">
        <f>AZ47*'Sam-Budynki-WSAD'!E47</f>
        <v>2320345.62</v>
      </c>
      <c r="F47" s="95">
        <f>D47*(HLOOKUP(Ogolne!$D$6,'Wskazniki emisji elektrycznosc'!$B$8:$G$29,Ogolne!$E$7,TRUE))/1000</f>
        <v>5023.0963311599999</v>
      </c>
      <c r="G47" s="709">
        <f>$AZ47*'Sam-Budynki-WSAD'!H47</f>
        <v>459274</v>
      </c>
      <c r="H47" s="94">
        <f>$AZ47*'Sam-Budynki-WSAD'!I47</f>
        <v>553432.18000000005</v>
      </c>
      <c r="I47" s="95">
        <f>G47*'Wskazniki emisji paliw'!M$26</f>
        <v>3330.7926747829224</v>
      </c>
      <c r="J47" s="709">
        <f>$AZ47*'Sam-Budynki-WSAD'!L47</f>
        <v>0</v>
      </c>
      <c r="K47" s="94">
        <f>$AZ47*'Sam-Budynki-WSAD'!M47</f>
        <v>0</v>
      </c>
      <c r="L47" s="95">
        <f>J47*'Wskazniki emisji paliw'!M$27</f>
        <v>0</v>
      </c>
      <c r="M47" s="709">
        <f>$AZ47*'Sam-Budynki-WSAD'!O47</f>
        <v>33692</v>
      </c>
      <c r="N47" s="94">
        <f>$AZ47*'Sam-Budynki-WSAD'!P47</f>
        <v>69667.47</v>
      </c>
      <c r="O47" s="95">
        <f>M47*'Wskazniki emisji paliw'!L$17</f>
        <v>93.338190497879992</v>
      </c>
      <c r="P47" s="709">
        <f>$AZ47*'Sam-Budynki-WSAD'!R47</f>
        <v>0</v>
      </c>
      <c r="Q47" s="94">
        <f>$AZ47*'Sam-Budynki-WSAD'!S47</f>
        <v>0</v>
      </c>
      <c r="R47" s="95">
        <f>P47*'Wskazniki emisji paliw'!L$18</f>
        <v>0</v>
      </c>
      <c r="S47" s="709">
        <f>$AZ47*'Sam-Budynki-WSAD'!U47</f>
        <v>0</v>
      </c>
      <c r="T47" s="94">
        <f>$AZ47*'Sam-Budynki-WSAD'!V47</f>
        <v>0</v>
      </c>
      <c r="U47" s="95">
        <f>S47*'Wskazniki emisji paliw'!N$10</f>
        <v>0</v>
      </c>
      <c r="V47" s="709">
        <f>$AZ47*'Sam-Budynki-WSAD'!X47</f>
        <v>0</v>
      </c>
      <c r="W47" s="94">
        <f>$AZ47*'Sam-Budynki-WSAD'!Y47</f>
        <v>0</v>
      </c>
      <c r="X47" s="95">
        <f>V47*'Wskazniki emisji paliw'!N$11</f>
        <v>0</v>
      </c>
      <c r="Y47" s="709">
        <f>$AZ47*'Sam-Budynki-WSAD'!AA47</f>
        <v>0</v>
      </c>
      <c r="Z47" s="94">
        <f>$AZ47*'Sam-Budynki-WSAD'!AB47</f>
        <v>0</v>
      </c>
      <c r="AA47" s="95">
        <f>Y47*'Wskazniki emisji paliw'!L$21</f>
        <v>0</v>
      </c>
      <c r="AB47" s="709">
        <f>$AZ47*'Sam-Budynki-WSAD'!AD47</f>
        <v>0</v>
      </c>
      <c r="AC47" s="94">
        <f>$AZ47*'Sam-Budynki-WSAD'!AE47</f>
        <v>0</v>
      </c>
      <c r="AD47" s="95">
        <f>AB47*'Wskazniki emisji paliw'!L$20</f>
        <v>0</v>
      </c>
      <c r="AE47" s="709">
        <f>$AZ47*'Sam-Budynki-WSAD'!AG47</f>
        <v>0</v>
      </c>
      <c r="AF47" s="94">
        <f>$AZ47*'Sam-Budynki-WSAD'!AH47</f>
        <v>0</v>
      </c>
      <c r="AG47" s="95">
        <f>AE47*'Wskazniki emisji paliw'!N$13</f>
        <v>0</v>
      </c>
      <c r="AH47" s="709">
        <f>$AZ47*'Sam-Budynki-WSAD'!AJ47</f>
        <v>36615.619444444441</v>
      </c>
      <c r="AI47" s="94">
        <f>$AZ47*'Sam-Budynki-WSAD'!AK47</f>
        <v>7129374.0499999998</v>
      </c>
      <c r="AJ47" s="96">
        <f>AH47*'Wskazniki emisji paliw'!K$35</f>
        <v>11863.4607</v>
      </c>
      <c r="AK47" s="5"/>
      <c r="AL47" s="91" t="str">
        <f t="shared" si="11"/>
        <v>Wydział Edukacji, Urząd Miasta Bydgoszczy  - zespoły szkół</v>
      </c>
      <c r="AM47" s="91" t="str">
        <f t="shared" si="10"/>
        <v>WE</v>
      </c>
      <c r="AN47" s="97">
        <f>'Sam-Budynki-WSAD'!AQ48</f>
        <v>22022</v>
      </c>
      <c r="AO47" s="97">
        <f>'Sam-Budynki-WSAD'!AR48</f>
        <v>932</v>
      </c>
      <c r="AP47" s="97">
        <f>'Sam-Budynki-WSAD'!AS48</f>
        <v>25078.639999999999</v>
      </c>
      <c r="AQ47" s="94">
        <f t="shared" si="12"/>
        <v>10072819.32</v>
      </c>
      <c r="AR47" s="95">
        <f t="shared" si="13"/>
        <v>20310.687896440802</v>
      </c>
      <c r="AS47" s="98">
        <f t="shared" si="14"/>
        <v>457.39802561075288</v>
      </c>
      <c r="AT47" s="98">
        <f t="shared" si="15"/>
        <v>10807.746051502147</v>
      </c>
      <c r="AU47" s="98">
        <f t="shared" si="16"/>
        <v>401.64934462155844</v>
      </c>
      <c r="AV47" s="98">
        <f t="shared" si="17"/>
        <v>0.92229079540644821</v>
      </c>
      <c r="AW47" s="98">
        <f t="shared" si="18"/>
        <v>21.792583579872105</v>
      </c>
      <c r="AX47" s="99">
        <f t="shared" si="19"/>
        <v>0.80987995746343511</v>
      </c>
      <c r="AY47" s="100" t="str">
        <f>'Sam-Budynki-WSAD'!BB47</f>
        <v xml:space="preserve"> sonel + uczniowie</v>
      </c>
      <c r="AZ47" s="90">
        <v>1</v>
      </c>
      <c r="BA47" s="90"/>
      <c r="BB47" s="90"/>
      <c r="BC47" s="90"/>
    </row>
    <row r="48" spans="1:55">
      <c r="A48" s="5"/>
      <c r="B48" s="713" t="str">
        <f>'Sam-Budynki-WSAD'!B48</f>
        <v>Wydział Obsługi Urzędu, Urząd Miasta Bydgoszczy</v>
      </c>
      <c r="C48" s="726" t="str">
        <f>'Sam-Budynki-WSAD'!C48</f>
        <v>WOU</v>
      </c>
      <c r="D48" s="709">
        <f>AZ48*'Sam-Budynki-WSAD'!D48</f>
        <v>1173048</v>
      </c>
      <c r="E48" s="94">
        <f>AZ48*'Sam-Budynki-WSAD'!E48</f>
        <v>427791.65999999992</v>
      </c>
      <c r="F48" s="95">
        <f>D48*(HLOOKUP(Ogolne!$D$6,'Wskazniki emisji elektrycznosc'!$B$8:$G$29,Ogolne!$E$7,TRUE))/1000</f>
        <v>1151.9331359999999</v>
      </c>
      <c r="G48" s="709">
        <f>$AZ48*'Sam-Budynki-WSAD'!H48</f>
        <v>0</v>
      </c>
      <c r="H48" s="94">
        <f>$AZ48*'Sam-Budynki-WSAD'!I48</f>
        <v>0</v>
      </c>
      <c r="I48" s="95">
        <f>G48*'Wskazniki emisji paliw'!M$26</f>
        <v>0</v>
      </c>
      <c r="J48" s="709">
        <f>$AZ48*'Sam-Budynki-WSAD'!L48</f>
        <v>0</v>
      </c>
      <c r="K48" s="94">
        <f>$AZ48*'Sam-Budynki-WSAD'!M48</f>
        <v>0</v>
      </c>
      <c r="L48" s="95">
        <f>J48*'Wskazniki emisji paliw'!M$27</f>
        <v>0</v>
      </c>
      <c r="M48" s="709">
        <f>$AZ48*'Sam-Budynki-WSAD'!O48</f>
        <v>0</v>
      </c>
      <c r="N48" s="94">
        <f>$AZ48*'Sam-Budynki-WSAD'!P48</f>
        <v>0</v>
      </c>
      <c r="O48" s="95">
        <f>M48*'Wskazniki emisji paliw'!L$17</f>
        <v>0</v>
      </c>
      <c r="P48" s="709">
        <f>$AZ48*'Sam-Budynki-WSAD'!R48</f>
        <v>0</v>
      </c>
      <c r="Q48" s="94">
        <f>$AZ48*'Sam-Budynki-WSAD'!S48</f>
        <v>0</v>
      </c>
      <c r="R48" s="95">
        <f>P48*'Wskazniki emisji paliw'!L$18</f>
        <v>0</v>
      </c>
      <c r="S48" s="709">
        <f>$AZ48*'Sam-Budynki-WSAD'!U48</f>
        <v>0</v>
      </c>
      <c r="T48" s="94">
        <f>$AZ48*'Sam-Budynki-WSAD'!V48</f>
        <v>0</v>
      </c>
      <c r="U48" s="95">
        <f>S48*'Wskazniki emisji paliw'!N$10</f>
        <v>0</v>
      </c>
      <c r="V48" s="709">
        <f>$AZ48*'Sam-Budynki-WSAD'!X48</f>
        <v>0</v>
      </c>
      <c r="W48" s="94">
        <f>$AZ48*'Sam-Budynki-WSAD'!Y48</f>
        <v>0</v>
      </c>
      <c r="X48" s="95">
        <f>V48*'Wskazniki emisji paliw'!N$11</f>
        <v>0</v>
      </c>
      <c r="Y48" s="709">
        <f>$AZ48*'Sam-Budynki-WSAD'!AA48</f>
        <v>0</v>
      </c>
      <c r="Z48" s="94">
        <f>$AZ48*'Sam-Budynki-WSAD'!AB48</f>
        <v>0</v>
      </c>
      <c r="AA48" s="95">
        <f>Y48*'Wskazniki emisji paliw'!L$21</f>
        <v>0</v>
      </c>
      <c r="AB48" s="709">
        <f>$AZ48*'Sam-Budynki-WSAD'!AD48</f>
        <v>0</v>
      </c>
      <c r="AC48" s="94">
        <f>$AZ48*'Sam-Budynki-WSAD'!AE48</f>
        <v>0</v>
      </c>
      <c r="AD48" s="95">
        <f>AB48*'Wskazniki emisji paliw'!L$20</f>
        <v>0</v>
      </c>
      <c r="AE48" s="709">
        <f>$AZ48*'Sam-Budynki-WSAD'!AG48</f>
        <v>0</v>
      </c>
      <c r="AF48" s="94">
        <f>$AZ48*'Sam-Budynki-WSAD'!AH48</f>
        <v>0</v>
      </c>
      <c r="AG48" s="95">
        <f>AE48*'Wskazniki emisji paliw'!N$13</f>
        <v>0</v>
      </c>
      <c r="AH48" s="709">
        <f>$AZ48*'Sam-Budynki-WSAD'!AJ48</f>
        <v>3307.2222222222222</v>
      </c>
      <c r="AI48" s="94">
        <f>$AZ48*'Sam-Budynki-WSAD'!AK48</f>
        <v>633116.12</v>
      </c>
      <c r="AJ48" s="96">
        <f>AH48*'Wskazniki emisji paliw'!K$35</f>
        <v>1071.54</v>
      </c>
      <c r="AK48" s="5"/>
      <c r="AL48" s="91" t="str">
        <f t="shared" si="11"/>
        <v>Wydział Obsługi Urzędu, Urząd Miasta Bydgoszczy</v>
      </c>
      <c r="AM48" s="91" t="str">
        <f t="shared" si="10"/>
        <v>WOU</v>
      </c>
      <c r="AN48" s="97">
        <f>'Sam-Budynki-WSAD'!AQ49</f>
        <v>57340</v>
      </c>
      <c r="AO48" s="97">
        <f>'Sam-Budynki-WSAD'!AR49</f>
        <v>310</v>
      </c>
      <c r="AP48" s="97">
        <f>'Sam-Budynki-WSAD'!AS49</f>
        <v>1228.46</v>
      </c>
      <c r="AQ48" s="94">
        <f t="shared" si="12"/>
        <v>1060907.7799999998</v>
      </c>
      <c r="AR48" s="95">
        <f t="shared" si="13"/>
        <v>2223.4731359999996</v>
      </c>
      <c r="AS48" s="98">
        <f t="shared" si="14"/>
        <v>18.502054063480987</v>
      </c>
      <c r="AT48" s="98">
        <f t="shared" si="15"/>
        <v>3422.2831612903219</v>
      </c>
      <c r="AU48" s="98">
        <f t="shared" si="16"/>
        <v>863.60791560164739</v>
      </c>
      <c r="AV48" s="98">
        <f t="shared" si="17"/>
        <v>3.8776999232647359E-2</v>
      </c>
      <c r="AW48" s="98">
        <f t="shared" si="18"/>
        <v>7.1724939870967725</v>
      </c>
      <c r="AX48" s="99">
        <f t="shared" si="19"/>
        <v>1.8099678752258923</v>
      </c>
      <c r="AY48" s="100">
        <f>'Sam-Budynki-WSAD'!BB48</f>
        <v>0</v>
      </c>
      <c r="AZ48" s="90">
        <v>1</v>
      </c>
      <c r="BA48" s="90"/>
      <c r="BB48" s="90"/>
      <c r="BC48" s="90"/>
    </row>
    <row r="49" spans="1:55">
      <c r="A49" s="5"/>
      <c r="B49" s="713" t="str">
        <f>'Sam-Budynki-WSAD'!B49</f>
        <v>Zakład Robót Publicznych</v>
      </c>
      <c r="C49" s="726" t="str">
        <f>'Sam-Budynki-WSAD'!C49</f>
        <v>ZRP</v>
      </c>
      <c r="D49" s="709">
        <f>AZ49*'Sam-Budynki-WSAD'!D49</f>
        <v>517254</v>
      </c>
      <c r="E49" s="94">
        <f>AZ49*'Sam-Budynki-WSAD'!E49</f>
        <v>145865.60999999999</v>
      </c>
      <c r="F49" s="95">
        <f>D49*(HLOOKUP(Ogolne!$D$6,'Wskazniki emisji elektrycznosc'!$B$8:$G$29,Ogolne!$E$7,TRUE))/1000</f>
        <v>507.94342800000004</v>
      </c>
      <c r="G49" s="709">
        <f>$AZ49*'Sam-Budynki-WSAD'!H49</f>
        <v>0</v>
      </c>
      <c r="H49" s="94">
        <f>$AZ49*'Sam-Budynki-WSAD'!I49</f>
        <v>0</v>
      </c>
      <c r="I49" s="95">
        <f>G49*'Wskazniki emisji paliw'!M$26</f>
        <v>0</v>
      </c>
      <c r="J49" s="709">
        <f>$AZ49*'Sam-Budynki-WSAD'!L49</f>
        <v>0</v>
      </c>
      <c r="K49" s="94">
        <f>$AZ49*'Sam-Budynki-WSAD'!M49</f>
        <v>0</v>
      </c>
      <c r="L49" s="95">
        <f>J49*'Wskazniki emisji paliw'!M$27</f>
        <v>0</v>
      </c>
      <c r="M49" s="709">
        <f>$AZ49*'Sam-Budynki-WSAD'!O49</f>
        <v>8185.26</v>
      </c>
      <c r="N49" s="94">
        <f>$AZ49*'Sam-Budynki-WSAD'!P49</f>
        <v>21527.71</v>
      </c>
      <c r="O49" s="95">
        <f>M49*'Wskazniki emisji paliw'!L$17</f>
        <v>22.675927732241401</v>
      </c>
      <c r="P49" s="709">
        <f>$AZ49*'Sam-Budynki-WSAD'!R49</f>
        <v>0</v>
      </c>
      <c r="Q49" s="94">
        <f>$AZ49*'Sam-Budynki-WSAD'!S49</f>
        <v>0</v>
      </c>
      <c r="R49" s="95">
        <f>P49*'Wskazniki emisji paliw'!L$18</f>
        <v>0</v>
      </c>
      <c r="S49" s="709">
        <f>$AZ49*'Sam-Budynki-WSAD'!U49</f>
        <v>0</v>
      </c>
      <c r="T49" s="94">
        <f>$AZ49*'Sam-Budynki-WSAD'!V49</f>
        <v>0</v>
      </c>
      <c r="U49" s="95">
        <f>S49*'Wskazniki emisji paliw'!N$10</f>
        <v>0</v>
      </c>
      <c r="V49" s="709">
        <f>$AZ49*'Sam-Budynki-WSAD'!X49</f>
        <v>0</v>
      </c>
      <c r="W49" s="94">
        <f>$AZ49*'Sam-Budynki-WSAD'!Y49</f>
        <v>0</v>
      </c>
      <c r="X49" s="95">
        <f>V49*'Wskazniki emisji paliw'!N$11</f>
        <v>0</v>
      </c>
      <c r="Y49" s="709">
        <f>$AZ49*'Sam-Budynki-WSAD'!AA49</f>
        <v>0</v>
      </c>
      <c r="Z49" s="94">
        <f>$AZ49*'Sam-Budynki-WSAD'!AB49</f>
        <v>0</v>
      </c>
      <c r="AA49" s="95">
        <f>Y49*'Wskazniki emisji paliw'!L$21</f>
        <v>0</v>
      </c>
      <c r="AB49" s="709">
        <f>$AZ49*'Sam-Budynki-WSAD'!AD49</f>
        <v>0</v>
      </c>
      <c r="AC49" s="94">
        <f>$AZ49*'Sam-Budynki-WSAD'!AE49</f>
        <v>0</v>
      </c>
      <c r="AD49" s="95">
        <f>AB49*'Wskazniki emisji paliw'!L$20</f>
        <v>0</v>
      </c>
      <c r="AE49" s="709">
        <f>$AZ49*'Sam-Budynki-WSAD'!AG49</f>
        <v>0</v>
      </c>
      <c r="AF49" s="94">
        <f>$AZ49*'Sam-Budynki-WSAD'!AH49</f>
        <v>0</v>
      </c>
      <c r="AG49" s="95">
        <f>AE49*'Wskazniki emisji paliw'!N$13</f>
        <v>0</v>
      </c>
      <c r="AH49" s="709">
        <f>$AZ49*'Sam-Budynki-WSAD'!AJ49</f>
        <v>416.66666666666663</v>
      </c>
      <c r="AI49" s="94">
        <f>$AZ49*'Sam-Budynki-WSAD'!AK49</f>
        <v>28327.07</v>
      </c>
      <c r="AJ49" s="96">
        <f>AH49*'Wskazniki emisji paliw'!K$35</f>
        <v>135</v>
      </c>
      <c r="AK49" s="5"/>
      <c r="AL49" s="91" t="str">
        <f t="shared" si="11"/>
        <v>Zakład Robót Publicznych</v>
      </c>
      <c r="AM49" s="91" t="str">
        <f t="shared" si="10"/>
        <v>ZRP</v>
      </c>
      <c r="AN49" s="97">
        <f>'Sam-Budynki-WSAD'!AQ50</f>
        <v>5170</v>
      </c>
      <c r="AO49" s="97">
        <f>'Sam-Budynki-WSAD'!AR50</f>
        <v>161</v>
      </c>
      <c r="AP49" s="97">
        <f>'Sam-Budynki-WSAD'!AS50</f>
        <v>4666.54</v>
      </c>
      <c r="AQ49" s="94">
        <f t="shared" si="12"/>
        <v>195720.38999999998</v>
      </c>
      <c r="AR49" s="95">
        <f t="shared" si="13"/>
        <v>665.61935573224139</v>
      </c>
      <c r="AS49" s="98">
        <f t="shared" si="14"/>
        <v>37.856941972920694</v>
      </c>
      <c r="AT49" s="98">
        <f t="shared" si="15"/>
        <v>1215.6545962732919</v>
      </c>
      <c r="AU49" s="98">
        <f t="shared" si="16"/>
        <v>41.941221976025062</v>
      </c>
      <c r="AV49" s="98">
        <f t="shared" si="17"/>
        <v>0.12874649047045289</v>
      </c>
      <c r="AW49" s="98">
        <f t="shared" si="18"/>
        <v>4.1342817126226175</v>
      </c>
      <c r="AX49" s="99">
        <f t="shared" si="19"/>
        <v>0.14263659065008366</v>
      </c>
      <c r="AY49" s="100">
        <f>'Sam-Budynki-WSAD'!BB49</f>
        <v>0</v>
      </c>
      <c r="AZ49" s="90">
        <v>1</v>
      </c>
      <c r="BA49" s="90"/>
      <c r="BB49" s="90"/>
      <c r="BC49" s="90"/>
    </row>
    <row r="50" spans="1:55">
      <c r="A50" s="5"/>
      <c r="B50" s="713" t="str">
        <f>'Sam-Budynki-WSAD'!B50</f>
        <v>Zarząd Dróg Miejskich i Komunikacji Publicznej w Bydgoszczy</v>
      </c>
      <c r="C50" s="726" t="str">
        <f>'Sam-Budynki-WSAD'!C50</f>
        <v>ZDMIKP</v>
      </c>
      <c r="D50" s="709">
        <f>AZ50*'Sam-Budynki-WSAD'!D50</f>
        <v>129300</v>
      </c>
      <c r="E50" s="94">
        <f>AZ50*'Sam-Budynki-WSAD'!E50</f>
        <v>49129.5</v>
      </c>
      <c r="F50" s="95">
        <f>D50*(HLOOKUP(Ogolne!$D$6,'Wskazniki emisji elektrycznosc'!$B$8:$G$29,Ogolne!$E$7,TRUE))/1000</f>
        <v>126.97259999999999</v>
      </c>
      <c r="G50" s="709">
        <f>$AZ50*'Sam-Budynki-WSAD'!H50</f>
        <v>0</v>
      </c>
      <c r="H50" s="94">
        <f>$AZ50*'Sam-Budynki-WSAD'!I50</f>
        <v>0</v>
      </c>
      <c r="I50" s="95">
        <f>G50*'Wskazniki emisji paliw'!M$26</f>
        <v>0</v>
      </c>
      <c r="J50" s="709">
        <f>$AZ50*'Sam-Budynki-WSAD'!L50</f>
        <v>0</v>
      </c>
      <c r="K50" s="94">
        <f>$AZ50*'Sam-Budynki-WSAD'!M50</f>
        <v>0</v>
      </c>
      <c r="L50" s="95">
        <f>J50*'Wskazniki emisji paliw'!M$27</f>
        <v>0</v>
      </c>
      <c r="M50" s="709">
        <f>$AZ50*'Sam-Budynki-WSAD'!O50</f>
        <v>0</v>
      </c>
      <c r="N50" s="94">
        <f>$AZ50*'Sam-Budynki-WSAD'!P50</f>
        <v>0</v>
      </c>
      <c r="O50" s="95">
        <f>M50*'Wskazniki emisji paliw'!L$17</f>
        <v>0</v>
      </c>
      <c r="P50" s="709">
        <f>$AZ50*'Sam-Budynki-WSAD'!R50</f>
        <v>0</v>
      </c>
      <c r="Q50" s="94">
        <f>$AZ50*'Sam-Budynki-WSAD'!S50</f>
        <v>0</v>
      </c>
      <c r="R50" s="95">
        <f>P50*'Wskazniki emisji paliw'!L$18</f>
        <v>0</v>
      </c>
      <c r="S50" s="709">
        <f>$AZ50*'Sam-Budynki-WSAD'!U50</f>
        <v>0</v>
      </c>
      <c r="T50" s="94">
        <f>$AZ50*'Sam-Budynki-WSAD'!V50</f>
        <v>0</v>
      </c>
      <c r="U50" s="95">
        <f>S50*'Wskazniki emisji paliw'!N$10</f>
        <v>0</v>
      </c>
      <c r="V50" s="709">
        <f>$AZ50*'Sam-Budynki-WSAD'!X50</f>
        <v>0</v>
      </c>
      <c r="W50" s="94">
        <f>$AZ50*'Sam-Budynki-WSAD'!Y50</f>
        <v>0</v>
      </c>
      <c r="X50" s="95">
        <f>V50*'Wskazniki emisji paliw'!N$11</f>
        <v>0</v>
      </c>
      <c r="Y50" s="709">
        <f>$AZ50*'Sam-Budynki-WSAD'!AA50</f>
        <v>0</v>
      </c>
      <c r="Z50" s="94">
        <f>$AZ50*'Sam-Budynki-WSAD'!AB50</f>
        <v>0</v>
      </c>
      <c r="AA50" s="95">
        <f>Y50*'Wskazniki emisji paliw'!L$21</f>
        <v>0</v>
      </c>
      <c r="AB50" s="709">
        <f>$AZ50*'Sam-Budynki-WSAD'!AD50</f>
        <v>0</v>
      </c>
      <c r="AC50" s="94">
        <f>$AZ50*'Sam-Budynki-WSAD'!AE50</f>
        <v>0</v>
      </c>
      <c r="AD50" s="95">
        <f>AB50*'Wskazniki emisji paliw'!L$20</f>
        <v>0</v>
      </c>
      <c r="AE50" s="709">
        <f>$AZ50*'Sam-Budynki-WSAD'!AG50</f>
        <v>0</v>
      </c>
      <c r="AF50" s="94">
        <f>$AZ50*'Sam-Budynki-WSAD'!AH50</f>
        <v>0</v>
      </c>
      <c r="AG50" s="95">
        <f>AE50*'Wskazniki emisji paliw'!N$13</f>
        <v>0</v>
      </c>
      <c r="AH50" s="709">
        <f>$AZ50*'Sam-Budynki-WSAD'!AJ50</f>
        <v>514.72222222222217</v>
      </c>
      <c r="AI50" s="94">
        <f>$AZ50*'Sam-Budynki-WSAD'!AK50</f>
        <v>59876.02</v>
      </c>
      <c r="AJ50" s="96">
        <f>AH50*'Wskazniki emisji paliw'!K$35</f>
        <v>166.76999999999998</v>
      </c>
      <c r="AK50" s="5"/>
      <c r="AL50" s="91" t="str">
        <f t="shared" si="11"/>
        <v>Zarząd Dróg Miejskich i Komunikacji Publicznej w Bydgoszczy</v>
      </c>
      <c r="AM50" s="91" t="str">
        <f t="shared" si="10"/>
        <v>ZDMIKP</v>
      </c>
      <c r="AN50" s="97">
        <f>'Sam-Budynki-WSAD'!AQ51</f>
        <v>25844</v>
      </c>
      <c r="AO50" s="97">
        <f>'Sam-Budynki-WSAD'!AR51</f>
        <v>599</v>
      </c>
      <c r="AP50" s="97">
        <f>'Sam-Budynki-WSAD'!AS51</f>
        <v>12257</v>
      </c>
      <c r="AQ50" s="94">
        <f t="shared" si="12"/>
        <v>109005.51999999999</v>
      </c>
      <c r="AR50" s="95">
        <f t="shared" si="13"/>
        <v>293.74259999999998</v>
      </c>
      <c r="AS50" s="98">
        <f t="shared" si="14"/>
        <v>4.2178269617706237</v>
      </c>
      <c r="AT50" s="98">
        <f t="shared" si="15"/>
        <v>181.97916527545908</v>
      </c>
      <c r="AU50" s="98">
        <f t="shared" si="16"/>
        <v>8.8933278942645018</v>
      </c>
      <c r="AV50" s="98">
        <f t="shared" si="17"/>
        <v>1.1365988237114997E-2</v>
      </c>
      <c r="AW50" s="98">
        <f t="shared" si="18"/>
        <v>0.49038831385642734</v>
      </c>
      <c r="AX50" s="99">
        <f t="shared" si="19"/>
        <v>2.3965293301786733E-2</v>
      </c>
      <c r="AY50" s="100">
        <f>'Sam-Budynki-WSAD'!BB50</f>
        <v>0</v>
      </c>
      <c r="AZ50" s="90">
        <v>1</v>
      </c>
      <c r="BA50" s="90"/>
      <c r="BB50" s="90"/>
      <c r="BC50" s="90"/>
    </row>
    <row r="51" spans="1:55">
      <c r="A51" s="5"/>
      <c r="B51" s="713" t="str">
        <f>'Sam-Budynki-WSAD'!B51</f>
        <v xml:space="preserve">Zespół Żłobków Miejskich </v>
      </c>
      <c r="C51" s="726" t="str">
        <f>'Sam-Budynki-WSAD'!C51</f>
        <v>ZZM</v>
      </c>
      <c r="D51" s="709">
        <f>AZ51*'Sam-Budynki-WSAD'!D51</f>
        <v>0</v>
      </c>
      <c r="E51" s="94">
        <f>AZ51*'Sam-Budynki-WSAD'!E51</f>
        <v>70799.960000000006</v>
      </c>
      <c r="F51" s="95">
        <f>D51*(HLOOKUP(Ogolne!$D$6,'Wskazniki emisji elektrycznosc'!$B$8:$G$29,Ogolne!$E$7,TRUE))/1000</f>
        <v>0</v>
      </c>
      <c r="G51" s="709">
        <f>$AZ51*'Sam-Budynki-WSAD'!H51</f>
        <v>38996</v>
      </c>
      <c r="H51" s="94">
        <f>$AZ51*'Sam-Budynki-WSAD'!I51</f>
        <v>50427</v>
      </c>
      <c r="I51" s="95">
        <f>G51*'Wskazniki emisji paliw'!M$26</f>
        <v>282.81067760385923</v>
      </c>
      <c r="J51" s="709">
        <f>$AZ51*'Sam-Budynki-WSAD'!L51</f>
        <v>0</v>
      </c>
      <c r="K51" s="94">
        <f>$AZ51*'Sam-Budynki-WSAD'!M51</f>
        <v>0</v>
      </c>
      <c r="L51" s="95">
        <f>J51*'Wskazniki emisji paliw'!M$27</f>
        <v>0</v>
      </c>
      <c r="M51" s="709">
        <f>$AZ51*'Sam-Budynki-WSAD'!O51</f>
        <v>0</v>
      </c>
      <c r="N51" s="94">
        <f>$AZ51*'Sam-Budynki-WSAD'!P51</f>
        <v>0</v>
      </c>
      <c r="O51" s="95">
        <f>M51*'Wskazniki emisji paliw'!L$17</f>
        <v>0</v>
      </c>
      <c r="P51" s="709">
        <f>$AZ51*'Sam-Budynki-WSAD'!R51</f>
        <v>0</v>
      </c>
      <c r="Q51" s="94">
        <f>$AZ51*'Sam-Budynki-WSAD'!S51</f>
        <v>0</v>
      </c>
      <c r="R51" s="95">
        <f>P51*'Wskazniki emisji paliw'!L$18</f>
        <v>0</v>
      </c>
      <c r="S51" s="709">
        <f>$AZ51*'Sam-Budynki-WSAD'!U51</f>
        <v>0</v>
      </c>
      <c r="T51" s="94">
        <f>$AZ51*'Sam-Budynki-WSAD'!V51</f>
        <v>0</v>
      </c>
      <c r="U51" s="95">
        <f>S51*'Wskazniki emisji paliw'!N$10</f>
        <v>0</v>
      </c>
      <c r="V51" s="709">
        <f>$AZ51*'Sam-Budynki-WSAD'!X51</f>
        <v>0</v>
      </c>
      <c r="W51" s="94">
        <f>$AZ51*'Sam-Budynki-WSAD'!Y51</f>
        <v>0</v>
      </c>
      <c r="X51" s="95">
        <f>V51*'Wskazniki emisji paliw'!N$11</f>
        <v>0</v>
      </c>
      <c r="Y51" s="709">
        <f>$AZ51*'Sam-Budynki-WSAD'!AA51</f>
        <v>0</v>
      </c>
      <c r="Z51" s="94">
        <f>$AZ51*'Sam-Budynki-WSAD'!AB51</f>
        <v>0</v>
      </c>
      <c r="AA51" s="95">
        <f>Y51*'Wskazniki emisji paliw'!L$21</f>
        <v>0</v>
      </c>
      <c r="AB51" s="709">
        <f>$AZ51*'Sam-Budynki-WSAD'!AD51</f>
        <v>0</v>
      </c>
      <c r="AC51" s="94">
        <f>$AZ51*'Sam-Budynki-WSAD'!AE51</f>
        <v>0</v>
      </c>
      <c r="AD51" s="95">
        <f>AB51*'Wskazniki emisji paliw'!L$20</f>
        <v>0</v>
      </c>
      <c r="AE51" s="709">
        <f>$AZ51*'Sam-Budynki-WSAD'!AG51</f>
        <v>0</v>
      </c>
      <c r="AF51" s="94">
        <f>$AZ51*'Sam-Budynki-WSAD'!AH51</f>
        <v>0</v>
      </c>
      <c r="AG51" s="95">
        <f>AE51*'Wskazniki emisji paliw'!N$13</f>
        <v>0</v>
      </c>
      <c r="AH51" s="709">
        <f>$AZ51*'Sam-Budynki-WSAD'!AJ51</f>
        <v>1558.0555555555554</v>
      </c>
      <c r="AI51" s="94">
        <f>$AZ51*'Sam-Budynki-WSAD'!AK51</f>
        <v>292342.68</v>
      </c>
      <c r="AJ51" s="96">
        <f>AH51*'Wskazniki emisji paliw'!K$35</f>
        <v>504.81</v>
      </c>
      <c r="AK51" s="5"/>
      <c r="AL51" s="91" t="str">
        <f t="shared" si="11"/>
        <v xml:space="preserve">Zespół Żłobków Miejskich </v>
      </c>
      <c r="AM51" s="91" t="str">
        <f t="shared" si="10"/>
        <v>ZZM</v>
      </c>
      <c r="AN51" s="97">
        <f>'Sam-Budynki-WSAD'!AQ52</f>
        <v>2400</v>
      </c>
      <c r="AO51" s="97">
        <f>'Sam-Budynki-WSAD'!AR52</f>
        <v>34</v>
      </c>
      <c r="AP51" s="97">
        <f>'Sam-Budynki-WSAD'!AS52</f>
        <v>2625</v>
      </c>
      <c r="AQ51" s="94">
        <f t="shared" si="12"/>
        <v>413569.64</v>
      </c>
      <c r="AR51" s="95">
        <f t="shared" si="13"/>
        <v>787.62067760385924</v>
      </c>
      <c r="AS51" s="98">
        <f t="shared" si="14"/>
        <v>172.32068333333333</v>
      </c>
      <c r="AT51" s="98">
        <f t="shared" si="15"/>
        <v>12163.812941176471</v>
      </c>
      <c r="AU51" s="98">
        <f t="shared" si="16"/>
        <v>157.55033904761905</v>
      </c>
      <c r="AV51" s="98">
        <f t="shared" si="17"/>
        <v>0.32817528233494137</v>
      </c>
      <c r="AW51" s="98">
        <f t="shared" si="18"/>
        <v>23.16531404717233</v>
      </c>
      <c r="AX51" s="99">
        <f t="shared" si="19"/>
        <v>0.30004597242051778</v>
      </c>
      <c r="AY51" s="100">
        <f>'Sam-Budynki-WSAD'!BB51</f>
        <v>0</v>
      </c>
      <c r="AZ51" s="90">
        <v>1</v>
      </c>
      <c r="BA51" s="90"/>
      <c r="BB51" s="90"/>
      <c r="BC51" s="90"/>
    </row>
    <row r="52" spans="1:55">
      <c r="A52" s="5"/>
      <c r="B52" s="713" t="str">
        <f>'Sam-Budynki-WSAD'!B52</f>
        <v>Bydgoskie Towarzystwo Żużlowe Polonia</v>
      </c>
      <c r="C52" s="726" t="str">
        <f>'Sam-Budynki-WSAD'!C52</f>
        <v>BTZP</v>
      </c>
      <c r="D52" s="709">
        <f>AZ52*'Sam-Budynki-WSAD'!D52</f>
        <v>105330</v>
      </c>
      <c r="E52" s="94">
        <f>AZ52*'Sam-Budynki-WSAD'!E52</f>
        <v>51201</v>
      </c>
      <c r="F52" s="95">
        <f>D52*(HLOOKUP(Ogolne!$D$6,'Wskazniki emisji elektrycznosc'!$B$8:$G$29,Ogolne!$E$7,TRUE))/1000</f>
        <v>103.43406</v>
      </c>
      <c r="G52" s="709">
        <f>$AZ52*'Sam-Budynki-WSAD'!H52</f>
        <v>0</v>
      </c>
      <c r="H52" s="94">
        <f>$AZ52*'Sam-Budynki-WSAD'!I52</f>
        <v>0</v>
      </c>
      <c r="I52" s="95">
        <f>G52*'Wskazniki emisji paliw'!M$26</f>
        <v>0</v>
      </c>
      <c r="J52" s="709">
        <f>$AZ52*'Sam-Budynki-WSAD'!L52</f>
        <v>0</v>
      </c>
      <c r="K52" s="94">
        <f>$AZ52*'Sam-Budynki-WSAD'!M52</f>
        <v>0</v>
      </c>
      <c r="L52" s="95">
        <f>J52*'Wskazniki emisji paliw'!M$27</f>
        <v>0</v>
      </c>
      <c r="M52" s="709">
        <f>$AZ52*'Sam-Budynki-WSAD'!O52</f>
        <v>0</v>
      </c>
      <c r="N52" s="94">
        <f>$AZ52*'Sam-Budynki-WSAD'!P52</f>
        <v>0</v>
      </c>
      <c r="O52" s="95">
        <f>M52*'Wskazniki emisji paliw'!L$17</f>
        <v>0</v>
      </c>
      <c r="P52" s="709">
        <f>$AZ52*'Sam-Budynki-WSAD'!R52</f>
        <v>0</v>
      </c>
      <c r="Q52" s="94">
        <f>$AZ52*'Sam-Budynki-WSAD'!S52</f>
        <v>0</v>
      </c>
      <c r="R52" s="95">
        <f>P52*'Wskazniki emisji paliw'!L$18</f>
        <v>0</v>
      </c>
      <c r="S52" s="709">
        <f>$AZ52*'Sam-Budynki-WSAD'!U52</f>
        <v>0</v>
      </c>
      <c r="T52" s="94">
        <f>$AZ52*'Sam-Budynki-WSAD'!V52</f>
        <v>0</v>
      </c>
      <c r="U52" s="95">
        <f>S52*'Wskazniki emisji paliw'!N$10</f>
        <v>0</v>
      </c>
      <c r="V52" s="709">
        <f>$AZ52*'Sam-Budynki-WSAD'!X52</f>
        <v>0</v>
      </c>
      <c r="W52" s="94">
        <f>$AZ52*'Sam-Budynki-WSAD'!Y52</f>
        <v>0</v>
      </c>
      <c r="X52" s="95">
        <f>V52*'Wskazniki emisji paliw'!N$11</f>
        <v>0</v>
      </c>
      <c r="Y52" s="709">
        <f>$AZ52*'Sam-Budynki-WSAD'!AA52</f>
        <v>0</v>
      </c>
      <c r="Z52" s="94">
        <f>$AZ52*'Sam-Budynki-WSAD'!AB52</f>
        <v>0</v>
      </c>
      <c r="AA52" s="95">
        <f>Y52*'Wskazniki emisji paliw'!L$21</f>
        <v>0</v>
      </c>
      <c r="AB52" s="709">
        <f>$AZ52*'Sam-Budynki-WSAD'!AD52</f>
        <v>0</v>
      </c>
      <c r="AC52" s="94">
        <f>$AZ52*'Sam-Budynki-WSAD'!AE52</f>
        <v>0</v>
      </c>
      <c r="AD52" s="95">
        <f>AB52*'Wskazniki emisji paliw'!L$20</f>
        <v>0</v>
      </c>
      <c r="AE52" s="709">
        <f>$AZ52*'Sam-Budynki-WSAD'!AG52</f>
        <v>0</v>
      </c>
      <c r="AF52" s="94">
        <f>$AZ52*'Sam-Budynki-WSAD'!AH52</f>
        <v>0</v>
      </c>
      <c r="AG52" s="95">
        <f>AE52*'Wskazniki emisji paliw'!N$13</f>
        <v>0</v>
      </c>
      <c r="AH52" s="709">
        <f>$AZ52*'Sam-Budynki-WSAD'!AJ52</f>
        <v>252.77777777777777</v>
      </c>
      <c r="AI52" s="94">
        <f>$AZ52*'Sam-Budynki-WSAD'!AK52</f>
        <v>54595</v>
      </c>
      <c r="AJ52" s="96">
        <f>AH52*'Wskazniki emisji paliw'!K$35</f>
        <v>81.900000000000006</v>
      </c>
      <c r="AK52" s="5"/>
      <c r="AL52" s="91" t="str">
        <f t="shared" si="11"/>
        <v>Bydgoskie Towarzystwo Żużlowe Polonia</v>
      </c>
      <c r="AM52" s="91" t="str">
        <f t="shared" si="10"/>
        <v>BTZP</v>
      </c>
      <c r="AN52" s="97">
        <f>'Sam-Budynki-WSAD'!AQ53</f>
        <v>0</v>
      </c>
      <c r="AO52" s="97">
        <f>'Sam-Budynki-WSAD'!AR53</f>
        <v>0</v>
      </c>
      <c r="AP52" s="97">
        <f>'Sam-Budynki-WSAD'!AS53</f>
        <v>0</v>
      </c>
      <c r="AQ52" s="94">
        <f t="shared" si="12"/>
        <v>105796</v>
      </c>
      <c r="AR52" s="95">
        <f t="shared" si="13"/>
        <v>185.33406000000002</v>
      </c>
      <c r="AS52" s="98" t="str">
        <f t="shared" si="14"/>
        <v/>
      </c>
      <c r="AT52" s="98" t="str">
        <f t="shared" si="15"/>
        <v/>
      </c>
      <c r="AU52" s="98" t="str">
        <f t="shared" si="16"/>
        <v/>
      </c>
      <c r="AV52" s="98" t="str">
        <f t="shared" si="17"/>
        <v/>
      </c>
      <c r="AW52" s="98" t="str">
        <f t="shared" si="18"/>
        <v/>
      </c>
      <c r="AX52" s="99" t="str">
        <f t="shared" si="19"/>
        <v/>
      </c>
      <c r="AY52" s="100">
        <f>'Sam-Budynki-WSAD'!BB52</f>
        <v>0</v>
      </c>
      <c r="AZ52" s="90">
        <v>1</v>
      </c>
      <c r="BA52" s="90"/>
      <c r="BB52" s="90"/>
      <c r="BC52" s="90"/>
    </row>
    <row r="53" spans="1:55">
      <c r="A53" s="5"/>
      <c r="B53" s="714"/>
      <c r="C53" s="711"/>
      <c r="D53" s="709">
        <f>AZ53*'Sam-Budynki-WSAD'!D53</f>
        <v>0</v>
      </c>
      <c r="E53" s="94">
        <f>AZ53*'Sam-Budynki-WSAD'!E53</f>
        <v>0</v>
      </c>
      <c r="F53" s="95">
        <f>D53*(HLOOKUP(Ogolne!$D$6,'Wskazniki emisji elektrycznosc'!$B$8:$G$29,Ogolne!$E$7,TRUE))/1000</f>
        <v>0</v>
      </c>
      <c r="G53" s="709">
        <f>$AZ53*'Sam-Budynki-WSAD'!H53</f>
        <v>0</v>
      </c>
      <c r="H53" s="94">
        <f>$AZ53*'Sam-Budynki-WSAD'!I53</f>
        <v>0</v>
      </c>
      <c r="I53" s="95">
        <f>G53*'Wskazniki emisji paliw'!M$26</f>
        <v>0</v>
      </c>
      <c r="J53" s="709">
        <f>$AZ53*'Sam-Budynki-WSAD'!L53</f>
        <v>0</v>
      </c>
      <c r="K53" s="94">
        <f>$AZ53*'Sam-Budynki-WSAD'!M53</f>
        <v>0</v>
      </c>
      <c r="L53" s="95">
        <f>J53*'Wskazniki emisji paliw'!M$27</f>
        <v>0</v>
      </c>
      <c r="M53" s="709">
        <f>$AZ53*'Sam-Budynki-WSAD'!O53</f>
        <v>0</v>
      </c>
      <c r="N53" s="94">
        <f>$AZ53*'Sam-Budynki-WSAD'!P53</f>
        <v>0</v>
      </c>
      <c r="O53" s="95">
        <f>M53*'Wskazniki emisji paliw'!L$17</f>
        <v>0</v>
      </c>
      <c r="P53" s="709">
        <f>$AZ53*'Sam-Budynki-WSAD'!R53</f>
        <v>0</v>
      </c>
      <c r="Q53" s="94">
        <f>$AZ53*'Sam-Budynki-WSAD'!S53</f>
        <v>0</v>
      </c>
      <c r="R53" s="95">
        <f>P53*'Wskazniki emisji paliw'!L$18</f>
        <v>0</v>
      </c>
      <c r="S53" s="709">
        <f>$AZ53*'Sam-Budynki-WSAD'!U53</f>
        <v>0</v>
      </c>
      <c r="T53" s="94">
        <f>$AZ53*'Sam-Budynki-WSAD'!V53</f>
        <v>0</v>
      </c>
      <c r="U53" s="95">
        <f>S53*'Wskazniki emisji paliw'!N$10</f>
        <v>0</v>
      </c>
      <c r="V53" s="709">
        <f>$AZ53*'Sam-Budynki-WSAD'!X53</f>
        <v>0</v>
      </c>
      <c r="W53" s="94">
        <f>$AZ53*'Sam-Budynki-WSAD'!Y53</f>
        <v>0</v>
      </c>
      <c r="X53" s="95">
        <f>V53*'Wskazniki emisji paliw'!N$11</f>
        <v>0</v>
      </c>
      <c r="Y53" s="709">
        <f>$AZ53*'Sam-Budynki-WSAD'!AA53</f>
        <v>0</v>
      </c>
      <c r="Z53" s="94">
        <f>$AZ53*'Sam-Budynki-WSAD'!AB53</f>
        <v>0</v>
      </c>
      <c r="AA53" s="95">
        <f>Y53*'Wskazniki emisji paliw'!L$21</f>
        <v>0</v>
      </c>
      <c r="AB53" s="709">
        <f>$AZ53*'Sam-Budynki-WSAD'!AD53</f>
        <v>0</v>
      </c>
      <c r="AC53" s="94">
        <f>$AZ53*'Sam-Budynki-WSAD'!AE53</f>
        <v>0</v>
      </c>
      <c r="AD53" s="95">
        <f>AB53*'Wskazniki emisji paliw'!L$20</f>
        <v>0</v>
      </c>
      <c r="AE53" s="709">
        <f>$AZ53*'Sam-Budynki-WSAD'!AG53</f>
        <v>0</v>
      </c>
      <c r="AF53" s="94">
        <f>$AZ53*'Sam-Budynki-WSAD'!AH53</f>
        <v>0</v>
      </c>
      <c r="AG53" s="95">
        <f>AE53*'Wskazniki emisji paliw'!N$13</f>
        <v>0</v>
      </c>
      <c r="AH53" s="709">
        <f>$AZ53*'Sam-Budynki-WSAD'!AJ53</f>
        <v>0</v>
      </c>
      <c r="AI53" s="94">
        <f>$AZ53*'Sam-Budynki-WSAD'!AK53</f>
        <v>0</v>
      </c>
      <c r="AJ53" s="96">
        <f>AH53*'Wskazniki emisji paliw'!K$35</f>
        <v>0</v>
      </c>
      <c r="AK53" s="5"/>
      <c r="AL53" s="91">
        <f t="shared" si="11"/>
        <v>0</v>
      </c>
      <c r="AM53" s="91">
        <f t="shared" si="10"/>
        <v>0</v>
      </c>
      <c r="AN53" s="97">
        <f>'Sam-Budynki-WSAD'!AQ54</f>
        <v>0</v>
      </c>
      <c r="AO53" s="97">
        <f>'Sam-Budynki-WSAD'!AR54</f>
        <v>0</v>
      </c>
      <c r="AP53" s="97">
        <f>'Sam-Budynki-WSAD'!AS54</f>
        <v>0</v>
      </c>
      <c r="AQ53" s="94">
        <f t="shared" si="12"/>
        <v>0</v>
      </c>
      <c r="AR53" s="95">
        <f t="shared" si="13"/>
        <v>0</v>
      </c>
      <c r="AS53" s="98" t="str">
        <f t="shared" si="14"/>
        <v/>
      </c>
      <c r="AT53" s="98" t="str">
        <f t="shared" si="15"/>
        <v/>
      </c>
      <c r="AU53" s="98" t="str">
        <f t="shared" si="16"/>
        <v/>
      </c>
      <c r="AV53" s="98" t="str">
        <f t="shared" si="17"/>
        <v/>
      </c>
      <c r="AW53" s="98" t="str">
        <f t="shared" si="18"/>
        <v/>
      </c>
      <c r="AX53" s="99" t="str">
        <f t="shared" si="19"/>
        <v/>
      </c>
      <c r="AY53" s="100">
        <f>'Sam-Budynki-WSAD'!BB53</f>
        <v>0</v>
      </c>
      <c r="AZ53" s="90"/>
      <c r="BA53" s="90"/>
      <c r="BB53" s="90"/>
      <c r="BC53" s="90"/>
    </row>
    <row r="54" spans="1:55">
      <c r="A54" s="5"/>
      <c r="B54" s="714"/>
      <c r="C54" s="711"/>
      <c r="D54" s="709">
        <f>AZ54*'Sam-Budynki-WSAD'!D54</f>
        <v>0</v>
      </c>
      <c r="E54" s="94">
        <f>AZ54*'Sam-Budynki-WSAD'!E54</f>
        <v>0</v>
      </c>
      <c r="F54" s="95">
        <f>D54*(HLOOKUP(Ogolne!$D$6,'Wskazniki emisji elektrycznosc'!$B$8:$G$29,Ogolne!$E$7,TRUE))/1000</f>
        <v>0</v>
      </c>
      <c r="G54" s="709">
        <f>$AZ54*'Sam-Budynki-WSAD'!H54</f>
        <v>0</v>
      </c>
      <c r="H54" s="94">
        <f>$AZ54*'Sam-Budynki-WSAD'!I54</f>
        <v>0</v>
      </c>
      <c r="I54" s="95">
        <f>G54*'Wskazniki emisji paliw'!M$26</f>
        <v>0</v>
      </c>
      <c r="J54" s="709">
        <f>$AZ54*'Sam-Budynki-WSAD'!L54</f>
        <v>0</v>
      </c>
      <c r="K54" s="94">
        <f>$AZ54*'Sam-Budynki-WSAD'!M54</f>
        <v>0</v>
      </c>
      <c r="L54" s="95">
        <f>J54*'Wskazniki emisji paliw'!M$27</f>
        <v>0</v>
      </c>
      <c r="M54" s="709">
        <f>$AZ54*'Sam-Budynki-WSAD'!O54</f>
        <v>0</v>
      </c>
      <c r="N54" s="94">
        <f>$AZ54*'Sam-Budynki-WSAD'!P54</f>
        <v>0</v>
      </c>
      <c r="O54" s="95">
        <f>M54*'Wskazniki emisji paliw'!L$17</f>
        <v>0</v>
      </c>
      <c r="P54" s="709">
        <f>$AZ54*'Sam-Budynki-WSAD'!R54</f>
        <v>0</v>
      </c>
      <c r="Q54" s="94">
        <f>$AZ54*'Sam-Budynki-WSAD'!S54</f>
        <v>0</v>
      </c>
      <c r="R54" s="95">
        <f>P54*'Wskazniki emisji paliw'!L$18</f>
        <v>0</v>
      </c>
      <c r="S54" s="709">
        <f>$AZ54*'Sam-Budynki-WSAD'!U54</f>
        <v>0</v>
      </c>
      <c r="T54" s="94">
        <f>$AZ54*'Sam-Budynki-WSAD'!V54</f>
        <v>0</v>
      </c>
      <c r="U54" s="95">
        <f>S54*'Wskazniki emisji paliw'!N$10</f>
        <v>0</v>
      </c>
      <c r="V54" s="709">
        <f>$AZ54*'Sam-Budynki-WSAD'!X54</f>
        <v>0</v>
      </c>
      <c r="W54" s="94">
        <f>$AZ54*'Sam-Budynki-WSAD'!Y54</f>
        <v>0</v>
      </c>
      <c r="X54" s="95">
        <f>V54*'Wskazniki emisji paliw'!N$11</f>
        <v>0</v>
      </c>
      <c r="Y54" s="709">
        <f>$AZ54*'Sam-Budynki-WSAD'!AA54</f>
        <v>0</v>
      </c>
      <c r="Z54" s="94">
        <f>$AZ54*'Sam-Budynki-WSAD'!AB54</f>
        <v>0</v>
      </c>
      <c r="AA54" s="95">
        <f>Y54*'Wskazniki emisji paliw'!L$21</f>
        <v>0</v>
      </c>
      <c r="AB54" s="709">
        <f>$AZ54*'Sam-Budynki-WSAD'!AD54</f>
        <v>0</v>
      </c>
      <c r="AC54" s="94">
        <f>$AZ54*'Sam-Budynki-WSAD'!AE54</f>
        <v>0</v>
      </c>
      <c r="AD54" s="95">
        <f>AB54*'Wskazniki emisji paliw'!L$20</f>
        <v>0</v>
      </c>
      <c r="AE54" s="709">
        <f>$AZ54*'Sam-Budynki-WSAD'!AG54</f>
        <v>0</v>
      </c>
      <c r="AF54" s="94">
        <f>$AZ54*'Sam-Budynki-WSAD'!AH54</f>
        <v>0</v>
      </c>
      <c r="AG54" s="95">
        <f>AE54*'Wskazniki emisji paliw'!N$13</f>
        <v>0</v>
      </c>
      <c r="AH54" s="709">
        <f>$AZ54*'Sam-Budynki-WSAD'!AJ54</f>
        <v>0</v>
      </c>
      <c r="AI54" s="94">
        <f>$AZ54*'Sam-Budynki-WSAD'!AK54</f>
        <v>0</v>
      </c>
      <c r="AJ54" s="96">
        <f>AH54*'Wskazniki emisji paliw'!K$35</f>
        <v>0</v>
      </c>
      <c r="AK54" s="5"/>
      <c r="AL54" s="91">
        <f t="shared" si="11"/>
        <v>0</v>
      </c>
      <c r="AM54" s="91">
        <f t="shared" si="10"/>
        <v>0</v>
      </c>
      <c r="AN54" s="97">
        <f>'Sam-Budynki-WSAD'!AQ55</f>
        <v>0</v>
      </c>
      <c r="AO54" s="97">
        <f>'Sam-Budynki-WSAD'!AR55</f>
        <v>0</v>
      </c>
      <c r="AP54" s="97">
        <f>'Sam-Budynki-WSAD'!AS55</f>
        <v>0</v>
      </c>
      <c r="AQ54" s="94">
        <f t="shared" si="12"/>
        <v>0</v>
      </c>
      <c r="AR54" s="95">
        <f t="shared" si="13"/>
        <v>0</v>
      </c>
      <c r="AS54" s="98" t="str">
        <f t="shared" si="14"/>
        <v/>
      </c>
      <c r="AT54" s="98" t="str">
        <f t="shared" si="15"/>
        <v/>
      </c>
      <c r="AU54" s="98" t="str">
        <f t="shared" si="16"/>
        <v/>
      </c>
      <c r="AV54" s="98" t="str">
        <f t="shared" si="17"/>
        <v/>
      </c>
      <c r="AW54" s="98" t="str">
        <f t="shared" si="18"/>
        <v/>
      </c>
      <c r="AX54" s="99" t="str">
        <f t="shared" si="19"/>
        <v/>
      </c>
      <c r="AY54" s="100">
        <f>'Sam-Budynki-WSAD'!BB54</f>
        <v>0</v>
      </c>
      <c r="AZ54" s="90"/>
      <c r="BA54" s="90"/>
      <c r="BB54" s="90"/>
      <c r="BC54" s="90"/>
    </row>
    <row r="55" spans="1:55">
      <c r="A55" s="5"/>
      <c r="B55" s="714"/>
      <c r="C55" s="711"/>
      <c r="D55" s="709">
        <f>AZ55*'Sam-Budynki-WSAD'!D55</f>
        <v>0</v>
      </c>
      <c r="E55" s="94">
        <f>AZ55*'Sam-Budynki-WSAD'!E55</f>
        <v>0</v>
      </c>
      <c r="F55" s="95">
        <f>D55*(HLOOKUP(Ogolne!$D$6,'Wskazniki emisji elektrycznosc'!$B$8:$G$29,Ogolne!$E$7,TRUE))/1000</f>
        <v>0</v>
      </c>
      <c r="G55" s="709">
        <f>$AZ55*'Sam-Budynki-WSAD'!H55</f>
        <v>0</v>
      </c>
      <c r="H55" s="94">
        <f>$AZ55*'Sam-Budynki-WSAD'!I55</f>
        <v>0</v>
      </c>
      <c r="I55" s="95">
        <f>G55*'Wskazniki emisji paliw'!M$26</f>
        <v>0</v>
      </c>
      <c r="J55" s="709">
        <f>$AZ55*'Sam-Budynki-WSAD'!L55</f>
        <v>0</v>
      </c>
      <c r="K55" s="94">
        <f>$AZ55*'Sam-Budynki-WSAD'!M55</f>
        <v>0</v>
      </c>
      <c r="L55" s="95">
        <f>J55*'Wskazniki emisji paliw'!M$27</f>
        <v>0</v>
      </c>
      <c r="M55" s="709">
        <f>$AZ55*'Sam-Budynki-WSAD'!O55</f>
        <v>0</v>
      </c>
      <c r="N55" s="94">
        <f>$AZ55*'Sam-Budynki-WSAD'!P55</f>
        <v>0</v>
      </c>
      <c r="O55" s="95">
        <f>M55*'Wskazniki emisji paliw'!L$17</f>
        <v>0</v>
      </c>
      <c r="P55" s="709">
        <f>$AZ55*'Sam-Budynki-WSAD'!R55</f>
        <v>0</v>
      </c>
      <c r="Q55" s="94">
        <f>$AZ55*'Sam-Budynki-WSAD'!S55</f>
        <v>0</v>
      </c>
      <c r="R55" s="95">
        <f>P55*'Wskazniki emisji paliw'!L$18</f>
        <v>0</v>
      </c>
      <c r="S55" s="709">
        <f>$AZ55*'Sam-Budynki-WSAD'!U55</f>
        <v>0</v>
      </c>
      <c r="T55" s="94">
        <f>$AZ55*'Sam-Budynki-WSAD'!V55</f>
        <v>0</v>
      </c>
      <c r="U55" s="95">
        <f>S55*'Wskazniki emisji paliw'!N$10</f>
        <v>0</v>
      </c>
      <c r="V55" s="709">
        <f>$AZ55*'Sam-Budynki-WSAD'!X55</f>
        <v>0</v>
      </c>
      <c r="W55" s="94">
        <f>$AZ55*'Sam-Budynki-WSAD'!Y55</f>
        <v>0</v>
      </c>
      <c r="X55" s="95">
        <f>V55*'Wskazniki emisji paliw'!N$11</f>
        <v>0</v>
      </c>
      <c r="Y55" s="709">
        <f>$AZ55*'Sam-Budynki-WSAD'!AA55</f>
        <v>0</v>
      </c>
      <c r="Z55" s="94">
        <f>$AZ55*'Sam-Budynki-WSAD'!AB55</f>
        <v>0</v>
      </c>
      <c r="AA55" s="95">
        <f>Y55*'Wskazniki emisji paliw'!L$21</f>
        <v>0</v>
      </c>
      <c r="AB55" s="709">
        <f>$AZ55*'Sam-Budynki-WSAD'!AD55</f>
        <v>0</v>
      </c>
      <c r="AC55" s="94">
        <f>$AZ55*'Sam-Budynki-WSAD'!AE55</f>
        <v>0</v>
      </c>
      <c r="AD55" s="95">
        <f>AB55*'Wskazniki emisji paliw'!L$20</f>
        <v>0</v>
      </c>
      <c r="AE55" s="709">
        <f>$AZ55*'Sam-Budynki-WSAD'!AG55</f>
        <v>0</v>
      </c>
      <c r="AF55" s="94">
        <f>$AZ55*'Sam-Budynki-WSAD'!AH55</f>
        <v>0</v>
      </c>
      <c r="AG55" s="95">
        <f>AE55*'Wskazniki emisji paliw'!N$13</f>
        <v>0</v>
      </c>
      <c r="AH55" s="709">
        <f>$AZ55*'Sam-Budynki-WSAD'!AJ55</f>
        <v>0</v>
      </c>
      <c r="AI55" s="94">
        <f>$AZ55*'Sam-Budynki-WSAD'!AK55</f>
        <v>0</v>
      </c>
      <c r="AJ55" s="96">
        <f>AH55*'Wskazniki emisji paliw'!K$35</f>
        <v>0</v>
      </c>
      <c r="AK55" s="5"/>
      <c r="AL55" s="91">
        <f t="shared" si="11"/>
        <v>0</v>
      </c>
      <c r="AM55" s="91">
        <f t="shared" si="10"/>
        <v>0</v>
      </c>
      <c r="AN55" s="97">
        <f>'Sam-Budynki-WSAD'!AQ56</f>
        <v>0</v>
      </c>
      <c r="AO55" s="97">
        <f>'Sam-Budynki-WSAD'!AR56</f>
        <v>0</v>
      </c>
      <c r="AP55" s="97">
        <f>'Sam-Budynki-WSAD'!AS56</f>
        <v>0</v>
      </c>
      <c r="AQ55" s="94">
        <f t="shared" si="12"/>
        <v>0</v>
      </c>
      <c r="AR55" s="95">
        <f t="shared" si="13"/>
        <v>0</v>
      </c>
      <c r="AS55" s="98" t="str">
        <f t="shared" si="14"/>
        <v/>
      </c>
      <c r="AT55" s="98" t="str">
        <f t="shared" si="15"/>
        <v/>
      </c>
      <c r="AU55" s="98" t="str">
        <f t="shared" si="16"/>
        <v/>
      </c>
      <c r="AV55" s="98" t="str">
        <f t="shared" si="17"/>
        <v/>
      </c>
      <c r="AW55" s="98" t="str">
        <f t="shared" si="18"/>
        <v/>
      </c>
      <c r="AX55" s="99" t="str">
        <f t="shared" si="19"/>
        <v/>
      </c>
      <c r="AY55" s="100">
        <f>'Sam-Budynki-WSAD'!BB55</f>
        <v>0</v>
      </c>
      <c r="AZ55" s="90"/>
      <c r="BA55" s="90"/>
      <c r="BB55" s="90"/>
      <c r="BC55" s="90"/>
    </row>
    <row r="56" spans="1:55">
      <c r="A56" s="5"/>
      <c r="B56" s="714"/>
      <c r="C56" s="711"/>
      <c r="D56" s="709">
        <f>AZ56*'Sam-Budynki-WSAD'!D56</f>
        <v>0</v>
      </c>
      <c r="E56" s="94">
        <f>AZ56*'Sam-Budynki-WSAD'!E56</f>
        <v>0</v>
      </c>
      <c r="F56" s="95">
        <f>D56*(HLOOKUP(Ogolne!$D$6,'Wskazniki emisji elektrycznosc'!$B$8:$G$29,Ogolne!$E$7,TRUE))/1000</f>
        <v>0</v>
      </c>
      <c r="G56" s="709">
        <f>$AZ56*'Sam-Budynki-WSAD'!H56</f>
        <v>0</v>
      </c>
      <c r="H56" s="94">
        <f>$AZ56*'Sam-Budynki-WSAD'!I56</f>
        <v>0</v>
      </c>
      <c r="I56" s="95">
        <f>G56*'Wskazniki emisji paliw'!M$26</f>
        <v>0</v>
      </c>
      <c r="J56" s="709">
        <f>$AZ56*'Sam-Budynki-WSAD'!L56</f>
        <v>0</v>
      </c>
      <c r="K56" s="94">
        <f>$AZ56*'Sam-Budynki-WSAD'!M56</f>
        <v>0</v>
      </c>
      <c r="L56" s="95">
        <f>J56*'Wskazniki emisji paliw'!M$27</f>
        <v>0</v>
      </c>
      <c r="M56" s="709">
        <f>$AZ56*'Sam-Budynki-WSAD'!O56</f>
        <v>0</v>
      </c>
      <c r="N56" s="94">
        <f>$AZ56*'Sam-Budynki-WSAD'!P56</f>
        <v>0</v>
      </c>
      <c r="O56" s="95">
        <f>M56*'Wskazniki emisji paliw'!L$17</f>
        <v>0</v>
      </c>
      <c r="P56" s="709">
        <f>$AZ56*'Sam-Budynki-WSAD'!R56</f>
        <v>0</v>
      </c>
      <c r="Q56" s="94">
        <f>$AZ56*'Sam-Budynki-WSAD'!S56</f>
        <v>0</v>
      </c>
      <c r="R56" s="95">
        <f>P56*'Wskazniki emisji paliw'!L$18</f>
        <v>0</v>
      </c>
      <c r="S56" s="709">
        <f>$AZ56*'Sam-Budynki-WSAD'!U56</f>
        <v>0</v>
      </c>
      <c r="T56" s="94">
        <f>$AZ56*'Sam-Budynki-WSAD'!V56</f>
        <v>0</v>
      </c>
      <c r="U56" s="95">
        <f>S56*'Wskazniki emisji paliw'!N$10</f>
        <v>0</v>
      </c>
      <c r="V56" s="709">
        <f>$AZ56*'Sam-Budynki-WSAD'!X56</f>
        <v>0</v>
      </c>
      <c r="W56" s="94">
        <f>$AZ56*'Sam-Budynki-WSAD'!Y56</f>
        <v>0</v>
      </c>
      <c r="X56" s="95">
        <f>V56*'Wskazniki emisji paliw'!N$11</f>
        <v>0</v>
      </c>
      <c r="Y56" s="709">
        <f>$AZ56*'Sam-Budynki-WSAD'!AA56</f>
        <v>0</v>
      </c>
      <c r="Z56" s="94">
        <f>$AZ56*'Sam-Budynki-WSAD'!AB56</f>
        <v>0</v>
      </c>
      <c r="AA56" s="95">
        <f>Y56*'Wskazniki emisji paliw'!L$21</f>
        <v>0</v>
      </c>
      <c r="AB56" s="709">
        <f>$AZ56*'Sam-Budynki-WSAD'!AD56</f>
        <v>0</v>
      </c>
      <c r="AC56" s="94">
        <f>$AZ56*'Sam-Budynki-WSAD'!AE56</f>
        <v>0</v>
      </c>
      <c r="AD56" s="95">
        <f>AB56*'Wskazniki emisji paliw'!L$20</f>
        <v>0</v>
      </c>
      <c r="AE56" s="709">
        <f>$AZ56*'Sam-Budynki-WSAD'!AG56</f>
        <v>0</v>
      </c>
      <c r="AF56" s="94">
        <f>$AZ56*'Sam-Budynki-WSAD'!AH56</f>
        <v>0</v>
      </c>
      <c r="AG56" s="95">
        <f>AE56*'Wskazniki emisji paliw'!N$13</f>
        <v>0</v>
      </c>
      <c r="AH56" s="709">
        <f>$AZ56*'Sam-Budynki-WSAD'!AJ56</f>
        <v>0</v>
      </c>
      <c r="AI56" s="94">
        <f>$AZ56*'Sam-Budynki-WSAD'!AK56</f>
        <v>0</v>
      </c>
      <c r="AJ56" s="96">
        <f>AH56*'Wskazniki emisji paliw'!K$35</f>
        <v>0</v>
      </c>
      <c r="AK56" s="5"/>
      <c r="AL56" s="91">
        <f t="shared" si="11"/>
        <v>0</v>
      </c>
      <c r="AM56" s="91">
        <f t="shared" si="10"/>
        <v>0</v>
      </c>
      <c r="AN56" s="97">
        <f>'Sam-Budynki-WSAD'!AQ57</f>
        <v>0</v>
      </c>
      <c r="AO56" s="97">
        <f>'Sam-Budynki-WSAD'!AR57</f>
        <v>0</v>
      </c>
      <c r="AP56" s="97">
        <f>'Sam-Budynki-WSAD'!AS57</f>
        <v>0</v>
      </c>
      <c r="AQ56" s="94">
        <f t="shared" si="12"/>
        <v>0</v>
      </c>
      <c r="AR56" s="95">
        <f t="shared" si="13"/>
        <v>0</v>
      </c>
      <c r="AS56" s="98" t="str">
        <f t="shared" si="14"/>
        <v/>
      </c>
      <c r="AT56" s="98" t="str">
        <f t="shared" si="15"/>
        <v/>
      </c>
      <c r="AU56" s="98" t="str">
        <f t="shared" si="16"/>
        <v/>
      </c>
      <c r="AV56" s="98" t="str">
        <f t="shared" si="17"/>
        <v/>
      </c>
      <c r="AW56" s="98" t="str">
        <f t="shared" si="18"/>
        <v/>
      </c>
      <c r="AX56" s="99" t="str">
        <f t="shared" si="19"/>
        <v/>
      </c>
      <c r="AY56" s="100">
        <f>'Sam-Budynki-WSAD'!BB56</f>
        <v>0</v>
      </c>
      <c r="AZ56" s="90"/>
      <c r="BA56" s="90"/>
      <c r="BB56" s="90"/>
      <c r="BC56" s="90"/>
    </row>
    <row r="57" spans="1:55">
      <c r="A57" s="5"/>
      <c r="B57" s="714"/>
      <c r="C57" s="711"/>
      <c r="D57" s="709">
        <f>AZ57*'Sam-Budynki-WSAD'!D57</f>
        <v>0</v>
      </c>
      <c r="E57" s="94">
        <f>AZ57*'Sam-Budynki-WSAD'!E57</f>
        <v>0</v>
      </c>
      <c r="F57" s="95">
        <f>D57*(HLOOKUP(Ogolne!$D$6,'Wskazniki emisji elektrycznosc'!$B$8:$G$29,Ogolne!$E$7,TRUE))/1000</f>
        <v>0</v>
      </c>
      <c r="G57" s="709">
        <f>$AZ57*'Sam-Budynki-WSAD'!H57</f>
        <v>0</v>
      </c>
      <c r="H57" s="94">
        <f>$AZ57*'Sam-Budynki-WSAD'!I57</f>
        <v>0</v>
      </c>
      <c r="I57" s="95">
        <f>G57*'Wskazniki emisji paliw'!M$26</f>
        <v>0</v>
      </c>
      <c r="J57" s="709">
        <f>$AZ57*'Sam-Budynki-WSAD'!L57</f>
        <v>0</v>
      </c>
      <c r="K57" s="94">
        <f>$AZ57*'Sam-Budynki-WSAD'!M57</f>
        <v>0</v>
      </c>
      <c r="L57" s="95">
        <f>J57*'Wskazniki emisji paliw'!M$27</f>
        <v>0</v>
      </c>
      <c r="M57" s="709">
        <f>$AZ57*'Sam-Budynki-WSAD'!O57</f>
        <v>0</v>
      </c>
      <c r="N57" s="94">
        <f>$AZ57*'Sam-Budynki-WSAD'!P57</f>
        <v>0</v>
      </c>
      <c r="O57" s="95">
        <f>M57*'Wskazniki emisji paliw'!L$17</f>
        <v>0</v>
      </c>
      <c r="P57" s="709">
        <f>$AZ57*'Sam-Budynki-WSAD'!R57</f>
        <v>0</v>
      </c>
      <c r="Q57" s="94">
        <f>$AZ57*'Sam-Budynki-WSAD'!S57</f>
        <v>0</v>
      </c>
      <c r="R57" s="95">
        <f>P57*'Wskazniki emisji paliw'!L$18</f>
        <v>0</v>
      </c>
      <c r="S57" s="709">
        <f>$AZ57*'Sam-Budynki-WSAD'!U57</f>
        <v>0</v>
      </c>
      <c r="T57" s="94">
        <f>$AZ57*'Sam-Budynki-WSAD'!V57</f>
        <v>0</v>
      </c>
      <c r="U57" s="95">
        <f>S57*'Wskazniki emisji paliw'!N$10</f>
        <v>0</v>
      </c>
      <c r="V57" s="709">
        <f>$AZ57*'Sam-Budynki-WSAD'!X57</f>
        <v>0</v>
      </c>
      <c r="W57" s="94">
        <f>$AZ57*'Sam-Budynki-WSAD'!Y57</f>
        <v>0</v>
      </c>
      <c r="X57" s="95">
        <f>V57*'Wskazniki emisji paliw'!N$11</f>
        <v>0</v>
      </c>
      <c r="Y57" s="709">
        <f>$AZ57*'Sam-Budynki-WSAD'!AA57</f>
        <v>0</v>
      </c>
      <c r="Z57" s="94">
        <f>$AZ57*'Sam-Budynki-WSAD'!AB57</f>
        <v>0</v>
      </c>
      <c r="AA57" s="95">
        <f>Y57*'Wskazniki emisji paliw'!L$21</f>
        <v>0</v>
      </c>
      <c r="AB57" s="709">
        <f>$AZ57*'Sam-Budynki-WSAD'!AD57</f>
        <v>0</v>
      </c>
      <c r="AC57" s="94">
        <f>$AZ57*'Sam-Budynki-WSAD'!AE57</f>
        <v>0</v>
      </c>
      <c r="AD57" s="95">
        <f>AB57*'Wskazniki emisji paliw'!L$20</f>
        <v>0</v>
      </c>
      <c r="AE57" s="709">
        <f>$AZ57*'Sam-Budynki-WSAD'!AG57</f>
        <v>0</v>
      </c>
      <c r="AF57" s="94">
        <f>$AZ57*'Sam-Budynki-WSAD'!AH57</f>
        <v>0</v>
      </c>
      <c r="AG57" s="95">
        <f>AE57*'Wskazniki emisji paliw'!N$13</f>
        <v>0</v>
      </c>
      <c r="AH57" s="709">
        <f>$AZ57*'Sam-Budynki-WSAD'!AJ57</f>
        <v>0</v>
      </c>
      <c r="AI57" s="94">
        <f>$AZ57*'Sam-Budynki-WSAD'!AK57</f>
        <v>0</v>
      </c>
      <c r="AJ57" s="96">
        <f>AH57*'Wskazniki emisji paliw'!K$35</f>
        <v>0</v>
      </c>
      <c r="AK57" s="5"/>
      <c r="AL57" s="91">
        <f t="shared" si="11"/>
        <v>0</v>
      </c>
      <c r="AM57" s="91">
        <f t="shared" si="10"/>
        <v>0</v>
      </c>
      <c r="AN57" s="97">
        <f>'Sam-Budynki-WSAD'!AQ58</f>
        <v>0</v>
      </c>
      <c r="AO57" s="97">
        <f>'Sam-Budynki-WSAD'!AR58</f>
        <v>0</v>
      </c>
      <c r="AP57" s="97">
        <f>'Sam-Budynki-WSAD'!AS58</f>
        <v>0</v>
      </c>
      <c r="AQ57" s="94">
        <f t="shared" si="12"/>
        <v>0</v>
      </c>
      <c r="AR57" s="95">
        <f t="shared" si="13"/>
        <v>0</v>
      </c>
      <c r="AS57" s="98" t="str">
        <f t="shared" si="14"/>
        <v/>
      </c>
      <c r="AT57" s="98" t="str">
        <f t="shared" si="15"/>
        <v/>
      </c>
      <c r="AU57" s="98" t="str">
        <f t="shared" si="16"/>
        <v/>
      </c>
      <c r="AV57" s="98" t="str">
        <f t="shared" si="17"/>
        <v/>
      </c>
      <c r="AW57" s="98" t="str">
        <f t="shared" si="18"/>
        <v/>
      </c>
      <c r="AX57" s="99" t="str">
        <f t="shared" si="19"/>
        <v/>
      </c>
      <c r="AY57" s="100">
        <f>'Sam-Budynki-WSAD'!BB57</f>
        <v>0</v>
      </c>
      <c r="AZ57" s="90"/>
      <c r="BA57" s="90"/>
      <c r="BB57" s="90"/>
      <c r="BC57" s="90"/>
    </row>
    <row r="58" spans="1:55">
      <c r="A58" s="5"/>
      <c r="B58" s="714"/>
      <c r="C58" s="711"/>
      <c r="D58" s="709">
        <f>AZ58*'Sam-Budynki-WSAD'!D58</f>
        <v>0</v>
      </c>
      <c r="E58" s="94">
        <f>AZ58*'Sam-Budynki-WSAD'!E58</f>
        <v>0</v>
      </c>
      <c r="F58" s="95">
        <f>D58*(HLOOKUP(Ogolne!$D$6,'Wskazniki emisji elektrycznosc'!$B$8:$G$29,Ogolne!$E$7,TRUE))/1000</f>
        <v>0</v>
      </c>
      <c r="G58" s="709">
        <f>$AZ58*'Sam-Budynki-WSAD'!H58</f>
        <v>0</v>
      </c>
      <c r="H58" s="94">
        <f>$AZ58*'Sam-Budynki-WSAD'!I58</f>
        <v>0</v>
      </c>
      <c r="I58" s="95">
        <f>G58*'Wskazniki emisji paliw'!M$26</f>
        <v>0</v>
      </c>
      <c r="J58" s="709">
        <f>$AZ58*'Sam-Budynki-WSAD'!L58</f>
        <v>0</v>
      </c>
      <c r="K58" s="94">
        <f>$AZ58*'Sam-Budynki-WSAD'!M58</f>
        <v>0</v>
      </c>
      <c r="L58" s="95">
        <f>J58*'Wskazniki emisji paliw'!M$27</f>
        <v>0</v>
      </c>
      <c r="M58" s="709">
        <f>$AZ58*'Sam-Budynki-WSAD'!O58</f>
        <v>0</v>
      </c>
      <c r="N58" s="94">
        <f>$AZ58*'Sam-Budynki-WSAD'!P58</f>
        <v>0</v>
      </c>
      <c r="O58" s="95">
        <f>M58*'Wskazniki emisji paliw'!L$17</f>
        <v>0</v>
      </c>
      <c r="P58" s="709">
        <f>$AZ58*'Sam-Budynki-WSAD'!R58</f>
        <v>0</v>
      </c>
      <c r="Q58" s="94">
        <f>$AZ58*'Sam-Budynki-WSAD'!S58</f>
        <v>0</v>
      </c>
      <c r="R58" s="95">
        <f>P58*'Wskazniki emisji paliw'!L$18</f>
        <v>0</v>
      </c>
      <c r="S58" s="709">
        <f>$AZ58*'Sam-Budynki-WSAD'!U58</f>
        <v>0</v>
      </c>
      <c r="T58" s="94">
        <f>$AZ58*'Sam-Budynki-WSAD'!V58</f>
        <v>0</v>
      </c>
      <c r="U58" s="95">
        <f>S58*'Wskazniki emisji paliw'!N$10</f>
        <v>0</v>
      </c>
      <c r="V58" s="709">
        <f>$AZ58*'Sam-Budynki-WSAD'!X58</f>
        <v>0</v>
      </c>
      <c r="W58" s="94">
        <f>$AZ58*'Sam-Budynki-WSAD'!Y58</f>
        <v>0</v>
      </c>
      <c r="X58" s="95">
        <f>V58*'Wskazniki emisji paliw'!N$11</f>
        <v>0</v>
      </c>
      <c r="Y58" s="709">
        <f>$AZ58*'Sam-Budynki-WSAD'!AA58</f>
        <v>0</v>
      </c>
      <c r="Z58" s="94">
        <f>$AZ58*'Sam-Budynki-WSAD'!AB58</f>
        <v>0</v>
      </c>
      <c r="AA58" s="95">
        <f>Y58*'Wskazniki emisji paliw'!L$21</f>
        <v>0</v>
      </c>
      <c r="AB58" s="709">
        <f>$AZ58*'Sam-Budynki-WSAD'!AD58</f>
        <v>0</v>
      </c>
      <c r="AC58" s="94">
        <f>$AZ58*'Sam-Budynki-WSAD'!AE58</f>
        <v>0</v>
      </c>
      <c r="AD58" s="95">
        <f>AB58*'Wskazniki emisji paliw'!L$20</f>
        <v>0</v>
      </c>
      <c r="AE58" s="709">
        <f>$AZ58*'Sam-Budynki-WSAD'!AG58</f>
        <v>0</v>
      </c>
      <c r="AF58" s="94">
        <f>$AZ58*'Sam-Budynki-WSAD'!AH58</f>
        <v>0</v>
      </c>
      <c r="AG58" s="95">
        <f>AE58*'Wskazniki emisji paliw'!N$13</f>
        <v>0</v>
      </c>
      <c r="AH58" s="709">
        <f>$AZ58*'Sam-Budynki-WSAD'!AJ58</f>
        <v>0</v>
      </c>
      <c r="AI58" s="94">
        <f>$AZ58*'Sam-Budynki-WSAD'!AK58</f>
        <v>0</v>
      </c>
      <c r="AJ58" s="96">
        <f>AH58*'Wskazniki emisji paliw'!K$35</f>
        <v>0</v>
      </c>
      <c r="AK58" s="5"/>
      <c r="AL58" s="91">
        <f t="shared" si="11"/>
        <v>0</v>
      </c>
      <c r="AM58" s="91">
        <f t="shared" si="10"/>
        <v>0</v>
      </c>
      <c r="AN58" s="97">
        <f>'Sam-Budynki-WSAD'!AQ59</f>
        <v>0</v>
      </c>
      <c r="AO58" s="97">
        <f>'Sam-Budynki-WSAD'!AR59</f>
        <v>0</v>
      </c>
      <c r="AP58" s="97">
        <f>'Sam-Budynki-WSAD'!AS59</f>
        <v>0</v>
      </c>
      <c r="AQ58" s="94">
        <f t="shared" si="12"/>
        <v>0</v>
      </c>
      <c r="AR58" s="95">
        <f t="shared" si="13"/>
        <v>0</v>
      </c>
      <c r="AS58" s="98" t="str">
        <f t="shared" si="14"/>
        <v/>
      </c>
      <c r="AT58" s="98" t="str">
        <f t="shared" si="15"/>
        <v/>
      </c>
      <c r="AU58" s="98" t="str">
        <f t="shared" si="16"/>
        <v/>
      </c>
      <c r="AV58" s="98" t="str">
        <f t="shared" si="17"/>
        <v/>
      </c>
      <c r="AW58" s="98" t="str">
        <f t="shared" si="18"/>
        <v/>
      </c>
      <c r="AX58" s="99" t="str">
        <f t="shared" si="19"/>
        <v/>
      </c>
      <c r="AY58" s="100">
        <f>'Sam-Budynki-WSAD'!BB58</f>
        <v>0</v>
      </c>
      <c r="AZ58" s="90"/>
      <c r="BA58" s="90"/>
      <c r="BB58" s="90"/>
      <c r="BC58" s="90"/>
    </row>
    <row r="59" spans="1:55">
      <c r="A59" s="5"/>
      <c r="B59" s="727"/>
      <c r="C59" s="726"/>
      <c r="D59" s="709">
        <f>AZ59*'Sam-Budynki-WSAD'!D59</f>
        <v>0</v>
      </c>
      <c r="E59" s="94">
        <f>AZ59*'Sam-Budynki-WSAD'!E59</f>
        <v>0</v>
      </c>
      <c r="F59" s="95">
        <f>D59*(HLOOKUP(Ogolne!$D$6,'Wskazniki emisji elektrycznosc'!$B$8:$G$29,Ogolne!$E$7,TRUE))/1000</f>
        <v>0</v>
      </c>
      <c r="G59" s="709">
        <f>$AZ59*'Sam-Budynki-WSAD'!H59</f>
        <v>0</v>
      </c>
      <c r="H59" s="94">
        <f>$AZ59*'Sam-Budynki-WSAD'!I59</f>
        <v>0</v>
      </c>
      <c r="I59" s="95">
        <f>G59*'Wskazniki emisji paliw'!M$26</f>
        <v>0</v>
      </c>
      <c r="J59" s="709">
        <f>$AZ59*'Sam-Budynki-WSAD'!L59</f>
        <v>0</v>
      </c>
      <c r="K59" s="94">
        <f>$AZ59*'Sam-Budynki-WSAD'!M59</f>
        <v>0</v>
      </c>
      <c r="L59" s="95">
        <f>J59*'Wskazniki emisji paliw'!M$27</f>
        <v>0</v>
      </c>
      <c r="M59" s="709">
        <f>$AZ59*'Sam-Budynki-WSAD'!O59</f>
        <v>0</v>
      </c>
      <c r="N59" s="94">
        <f>$AZ59*'Sam-Budynki-WSAD'!P59</f>
        <v>0</v>
      </c>
      <c r="O59" s="95">
        <f>M59*'Wskazniki emisji paliw'!L$17</f>
        <v>0</v>
      </c>
      <c r="P59" s="709">
        <f>$AZ59*'Sam-Budynki-WSAD'!R59</f>
        <v>0</v>
      </c>
      <c r="Q59" s="94">
        <f>$AZ59*'Sam-Budynki-WSAD'!S59</f>
        <v>0</v>
      </c>
      <c r="R59" s="95">
        <f>P59*'Wskazniki emisji paliw'!L$18</f>
        <v>0</v>
      </c>
      <c r="S59" s="709">
        <f>$AZ59*'Sam-Budynki-WSAD'!U59</f>
        <v>0</v>
      </c>
      <c r="T59" s="94">
        <f>$AZ59*'Sam-Budynki-WSAD'!V59</f>
        <v>0</v>
      </c>
      <c r="U59" s="95">
        <f>S59*'Wskazniki emisji paliw'!N$10</f>
        <v>0</v>
      </c>
      <c r="V59" s="709">
        <f>$AZ59*'Sam-Budynki-WSAD'!X59</f>
        <v>0</v>
      </c>
      <c r="W59" s="94">
        <f>$AZ59*'Sam-Budynki-WSAD'!Y59</f>
        <v>0</v>
      </c>
      <c r="X59" s="95">
        <f>V59*'Wskazniki emisji paliw'!N$11</f>
        <v>0</v>
      </c>
      <c r="Y59" s="709">
        <f>$AZ59*'Sam-Budynki-WSAD'!AA59</f>
        <v>0</v>
      </c>
      <c r="Z59" s="94">
        <f>$AZ59*'Sam-Budynki-WSAD'!AB59</f>
        <v>0</v>
      </c>
      <c r="AA59" s="95">
        <f>Y59*'Wskazniki emisji paliw'!L$21</f>
        <v>0</v>
      </c>
      <c r="AB59" s="709">
        <f>$AZ59*'Sam-Budynki-WSAD'!AD59</f>
        <v>0</v>
      </c>
      <c r="AC59" s="94">
        <f>$AZ59*'Sam-Budynki-WSAD'!AE59</f>
        <v>0</v>
      </c>
      <c r="AD59" s="95">
        <f>AB59*'Wskazniki emisji paliw'!L$20</f>
        <v>0</v>
      </c>
      <c r="AE59" s="709">
        <f>$AZ59*'Sam-Budynki-WSAD'!AG59</f>
        <v>0</v>
      </c>
      <c r="AF59" s="94">
        <f>$AZ59*'Sam-Budynki-WSAD'!AH59</f>
        <v>0</v>
      </c>
      <c r="AG59" s="95">
        <f>AE59*'Wskazniki emisji paliw'!N$13</f>
        <v>0</v>
      </c>
      <c r="AH59" s="709">
        <f>$AZ59*'Sam-Budynki-WSAD'!AJ59</f>
        <v>0</v>
      </c>
      <c r="AI59" s="94">
        <f>$AZ59*'Sam-Budynki-WSAD'!AK59</f>
        <v>0</v>
      </c>
      <c r="AJ59" s="96">
        <f>AH59*'Wskazniki emisji paliw'!K$35</f>
        <v>0</v>
      </c>
      <c r="AK59" s="5"/>
      <c r="AL59" s="91">
        <f t="shared" si="11"/>
        <v>0</v>
      </c>
      <c r="AM59" s="91">
        <f t="shared" si="10"/>
        <v>0</v>
      </c>
      <c r="AN59" s="97">
        <f>'Sam-Budynki-WSAD'!AQ60</f>
        <v>0</v>
      </c>
      <c r="AO59" s="97">
        <f>'Sam-Budynki-WSAD'!AR60</f>
        <v>0</v>
      </c>
      <c r="AP59" s="97">
        <f>'Sam-Budynki-WSAD'!AS60</f>
        <v>0</v>
      </c>
      <c r="AQ59" s="94">
        <f t="shared" si="12"/>
        <v>0</v>
      </c>
      <c r="AR59" s="95">
        <f t="shared" si="13"/>
        <v>0</v>
      </c>
      <c r="AS59" s="98" t="str">
        <f t="shared" si="14"/>
        <v/>
      </c>
      <c r="AT59" s="98" t="str">
        <f t="shared" si="15"/>
        <v/>
      </c>
      <c r="AU59" s="98" t="str">
        <f t="shared" si="16"/>
        <v/>
      </c>
      <c r="AV59" s="98" t="str">
        <f t="shared" si="17"/>
        <v/>
      </c>
      <c r="AW59" s="98" t="str">
        <f t="shared" si="18"/>
        <v/>
      </c>
      <c r="AX59" s="99" t="str">
        <f t="shared" si="19"/>
        <v/>
      </c>
      <c r="AY59" s="100">
        <f>'Sam-Budynki-WSAD'!BB59</f>
        <v>0</v>
      </c>
      <c r="AZ59" s="90"/>
      <c r="BA59" s="90"/>
      <c r="BB59" s="90"/>
      <c r="BC59" s="90"/>
    </row>
    <row r="60" spans="1:55">
      <c r="A60" s="5"/>
      <c r="B60" s="715" t="s">
        <v>370</v>
      </c>
      <c r="C60" s="103"/>
      <c r="D60" s="709">
        <f>AZ60*'Sam-Budynki-WSAD'!D60</f>
        <v>0</v>
      </c>
      <c r="E60" s="94">
        <f>AZ60*'Sam-Budynki-WSAD'!E60</f>
        <v>0</v>
      </c>
      <c r="F60" s="95">
        <f>D60*(HLOOKUP(Ogolne!$D$6,'Wskazniki emisji elektrycznosc'!$B$8:$G$29,Ogolne!$E$7,TRUE))/1000</f>
        <v>0</v>
      </c>
      <c r="G60" s="709">
        <f>$AZ60*'Sam-Budynki-WSAD'!H60</f>
        <v>0</v>
      </c>
      <c r="H60" s="94">
        <f>$AZ60*'Sam-Budynki-WSAD'!I60</f>
        <v>0</v>
      </c>
      <c r="I60" s="95">
        <f>G60*'Wskazniki emisji paliw'!M$26</f>
        <v>0</v>
      </c>
      <c r="J60" s="709">
        <f>$AZ60*'Sam-Budynki-WSAD'!L60</f>
        <v>0</v>
      </c>
      <c r="K60" s="94">
        <f>$AZ60*'Sam-Budynki-WSAD'!M60</f>
        <v>0</v>
      </c>
      <c r="L60" s="95">
        <f>J60*'Wskazniki emisji paliw'!M$27</f>
        <v>0</v>
      </c>
      <c r="M60" s="709">
        <f>$AZ60*'Sam-Budynki-WSAD'!O60</f>
        <v>0</v>
      </c>
      <c r="N60" s="94">
        <f>$AZ60*'Sam-Budynki-WSAD'!P60</f>
        <v>0</v>
      </c>
      <c r="O60" s="95">
        <f>M60*'Wskazniki emisji paliw'!L$17</f>
        <v>0</v>
      </c>
      <c r="P60" s="709">
        <f>$AZ60*'Sam-Budynki-WSAD'!R60</f>
        <v>0</v>
      </c>
      <c r="Q60" s="94">
        <f>$AZ60*'Sam-Budynki-WSAD'!S60</f>
        <v>0</v>
      </c>
      <c r="R60" s="95">
        <f>P60*'Wskazniki emisji paliw'!L$18</f>
        <v>0</v>
      </c>
      <c r="S60" s="709">
        <f>$AZ60*'Sam-Budynki-WSAD'!U60</f>
        <v>0</v>
      </c>
      <c r="T60" s="94">
        <f>$AZ60*'Sam-Budynki-WSAD'!V60</f>
        <v>0</v>
      </c>
      <c r="U60" s="95">
        <f>S60*'Wskazniki emisji paliw'!N$10</f>
        <v>0</v>
      </c>
      <c r="V60" s="709">
        <f>$AZ60*'Sam-Budynki-WSAD'!X60</f>
        <v>0</v>
      </c>
      <c r="W60" s="94">
        <f>$AZ60*'Sam-Budynki-WSAD'!Y60</f>
        <v>0</v>
      </c>
      <c r="X60" s="95">
        <f>V60*'Wskazniki emisji paliw'!N$11</f>
        <v>0</v>
      </c>
      <c r="Y60" s="709">
        <f>$AZ60*'Sam-Budynki-WSAD'!AA60</f>
        <v>0</v>
      </c>
      <c r="Z60" s="94">
        <f>$AZ60*'Sam-Budynki-WSAD'!AB60</f>
        <v>0</v>
      </c>
      <c r="AA60" s="95">
        <f>Y60*'Wskazniki emisji paliw'!L$21</f>
        <v>0</v>
      </c>
      <c r="AB60" s="709">
        <f>$AZ60*'Sam-Budynki-WSAD'!AD60</f>
        <v>0</v>
      </c>
      <c r="AC60" s="94">
        <f>$AZ60*'Sam-Budynki-WSAD'!AE60</f>
        <v>0</v>
      </c>
      <c r="AD60" s="95">
        <f>AB60*'Wskazniki emisji paliw'!L$20</f>
        <v>0</v>
      </c>
      <c r="AE60" s="709">
        <f>$AZ60*'Sam-Budynki-WSAD'!AG60</f>
        <v>0</v>
      </c>
      <c r="AF60" s="94">
        <f>$AZ60*'Sam-Budynki-WSAD'!AH60</f>
        <v>0</v>
      </c>
      <c r="AG60" s="95">
        <f>AE60*'Wskazniki emisji paliw'!N$13</f>
        <v>0</v>
      </c>
      <c r="AH60" s="709">
        <f>$AZ60*'Sam-Budynki-WSAD'!AJ60</f>
        <v>0</v>
      </c>
      <c r="AI60" s="94">
        <f>$AZ60*'Sam-Budynki-WSAD'!AK60</f>
        <v>0</v>
      </c>
      <c r="AJ60" s="96">
        <f>AH60*'Wskazniki emisji paliw'!K$35</f>
        <v>0</v>
      </c>
      <c r="AK60" s="5"/>
      <c r="AL60" s="91" t="str">
        <f t="shared" si="11"/>
        <v>Skopiuj i wklej ten wiersz zanim go wypełnisz</v>
      </c>
      <c r="AM60" s="91">
        <f t="shared" si="10"/>
        <v>0</v>
      </c>
      <c r="AN60" s="97">
        <f>'Sam-Budynki-WSAD'!AQ61</f>
        <v>0</v>
      </c>
      <c r="AO60" s="97">
        <f>'Sam-Budynki-WSAD'!AR61</f>
        <v>0</v>
      </c>
      <c r="AP60" s="97">
        <f>'Sam-Budynki-WSAD'!AS61</f>
        <v>765932.37</v>
      </c>
      <c r="AQ60" s="94">
        <f t="shared" si="12"/>
        <v>0</v>
      </c>
      <c r="AR60" s="95">
        <f t="shared" si="13"/>
        <v>0</v>
      </c>
      <c r="AS60" s="98" t="str">
        <f t="shared" si="14"/>
        <v/>
      </c>
      <c r="AT60" s="98" t="str">
        <f t="shared" si="15"/>
        <v/>
      </c>
      <c r="AU60" s="98">
        <f t="shared" si="16"/>
        <v>0</v>
      </c>
      <c r="AV60" s="98" t="str">
        <f t="shared" si="17"/>
        <v/>
      </c>
      <c r="AW60" s="98" t="str">
        <f t="shared" si="18"/>
        <v/>
      </c>
      <c r="AX60" s="99">
        <f t="shared" si="19"/>
        <v>0</v>
      </c>
      <c r="AY60" s="100">
        <f>'Sam-Budynki-WSAD'!BB60</f>
        <v>0</v>
      </c>
      <c r="AZ60" s="90"/>
      <c r="BA60" s="90"/>
      <c r="BB60" s="90"/>
      <c r="BC60" s="90"/>
    </row>
    <row r="61" spans="1:55" ht="13.5" thickBot="1">
      <c r="A61" s="5"/>
      <c r="B61" s="106" t="s">
        <v>371</v>
      </c>
      <c r="C61" s="107"/>
      <c r="D61" s="108">
        <f t="shared" ref="D61:AJ61" si="20">SUM(D10:D60)</f>
        <v>28216911.532999996</v>
      </c>
      <c r="E61" s="109">
        <f t="shared" si="20"/>
        <v>8876713.3377799988</v>
      </c>
      <c r="F61" s="109">
        <f t="shared" si="20"/>
        <v>27709.007125405995</v>
      </c>
      <c r="G61" s="109">
        <f t="shared" si="20"/>
        <v>1226830</v>
      </c>
      <c r="H61" s="109">
        <f t="shared" si="20"/>
        <v>1439769.94</v>
      </c>
      <c r="I61" s="109">
        <f t="shared" si="20"/>
        <v>8897.3387938440501</v>
      </c>
      <c r="J61" s="109">
        <f t="shared" si="20"/>
        <v>0</v>
      </c>
      <c r="K61" s="109">
        <f t="shared" si="20"/>
        <v>0</v>
      </c>
      <c r="L61" s="109">
        <f t="shared" si="20"/>
        <v>0</v>
      </c>
      <c r="M61" s="109">
        <f t="shared" si="20"/>
        <v>120928.97040000001</v>
      </c>
      <c r="N61" s="109">
        <f t="shared" si="20"/>
        <v>246342.086832</v>
      </c>
      <c r="O61" s="109">
        <f t="shared" si="20"/>
        <v>335.01398776883804</v>
      </c>
      <c r="P61" s="109">
        <f t="shared" si="20"/>
        <v>0</v>
      </c>
      <c r="Q61" s="109">
        <f t="shared" si="20"/>
        <v>0</v>
      </c>
      <c r="R61" s="109">
        <f t="shared" si="20"/>
        <v>0</v>
      </c>
      <c r="S61" s="109">
        <f t="shared" si="20"/>
        <v>36.200000000000003</v>
      </c>
      <c r="T61" s="109">
        <f t="shared" si="20"/>
        <v>11586</v>
      </c>
      <c r="U61" s="109">
        <f t="shared" si="20"/>
        <v>86.703343999999987</v>
      </c>
      <c r="V61" s="109">
        <f t="shared" si="20"/>
        <v>0</v>
      </c>
      <c r="W61" s="109">
        <f t="shared" si="20"/>
        <v>0</v>
      </c>
      <c r="X61" s="109">
        <f t="shared" si="20"/>
        <v>0</v>
      </c>
      <c r="Y61" s="109">
        <f t="shared" si="20"/>
        <v>0</v>
      </c>
      <c r="Z61" s="109">
        <f t="shared" si="20"/>
        <v>0</v>
      </c>
      <c r="AA61" s="109">
        <f t="shared" si="20"/>
        <v>0</v>
      </c>
      <c r="AB61" s="109">
        <f t="shared" si="20"/>
        <v>0</v>
      </c>
      <c r="AC61" s="109">
        <f t="shared" si="20"/>
        <v>0</v>
      </c>
      <c r="AD61" s="109">
        <f t="shared" si="20"/>
        <v>0</v>
      </c>
      <c r="AE61" s="109">
        <f t="shared" si="20"/>
        <v>0</v>
      </c>
      <c r="AF61" s="109">
        <f t="shared" si="20"/>
        <v>0</v>
      </c>
      <c r="AG61" s="109">
        <f t="shared" si="20"/>
        <v>0</v>
      </c>
      <c r="AH61" s="109">
        <f t="shared" si="20"/>
        <v>106230.56035668848</v>
      </c>
      <c r="AI61" s="109">
        <f t="shared" si="20"/>
        <v>18694533.584720001</v>
      </c>
      <c r="AJ61" s="110">
        <f t="shared" si="20"/>
        <v>34418.701555567066</v>
      </c>
      <c r="AK61" s="5"/>
      <c r="AL61" s="106" t="s">
        <v>37</v>
      </c>
      <c r="AM61" s="107"/>
      <c r="AN61" s="111"/>
      <c r="AO61" s="111"/>
      <c r="AP61" s="111">
        <f>SUM(AP10:AP60)</f>
        <v>1530680.86</v>
      </c>
      <c r="AQ61" s="112">
        <f>SUM(AQ10:AQ60)</f>
        <v>29268944.94933201</v>
      </c>
      <c r="AR61" s="113">
        <f>SUM(AR10:AR60)</f>
        <v>71446.764806585954</v>
      </c>
      <c r="AS61" s="114"/>
      <c r="AT61" s="114"/>
      <c r="AU61" s="115"/>
      <c r="AV61" s="114"/>
      <c r="AW61" s="114"/>
      <c r="AX61" s="116">
        <f>AR61/AP61</f>
        <v>4.6676460569700956E-2</v>
      </c>
      <c r="AY61" s="117"/>
      <c r="AZ61" s="105"/>
      <c r="BA61" s="105"/>
      <c r="BB61" s="105"/>
      <c r="BC61" s="105"/>
    </row>
    <row r="62" spans="1:55">
      <c r="A62" s="5"/>
      <c r="B62" s="119"/>
      <c r="C62" s="53"/>
      <c r="D62" s="120"/>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5"/>
      <c r="AF62" s="119"/>
      <c r="AG62" s="119"/>
      <c r="AH62" s="122"/>
      <c r="AI62" s="122"/>
      <c r="AJ62" s="122"/>
      <c r="AK62" s="123"/>
      <c r="AL62" s="124"/>
      <c r="AM62" s="125"/>
      <c r="AN62" s="125"/>
      <c r="AO62" s="125"/>
      <c r="AP62" s="125"/>
      <c r="AQ62" s="125"/>
      <c r="AR62" s="125"/>
      <c r="AS62" s="105"/>
      <c r="AT62" s="126"/>
      <c r="AU62" s="105"/>
      <c r="AV62" s="105"/>
      <c r="AW62" s="105"/>
      <c r="AX62" s="105"/>
      <c r="AY62" s="105"/>
      <c r="AZ62" s="105"/>
      <c r="BA62" s="105"/>
      <c r="BB62" s="118"/>
      <c r="BC62" s="118"/>
    </row>
    <row r="63" spans="1:55">
      <c r="A63" s="5"/>
      <c r="B63" s="941" t="s">
        <v>393</v>
      </c>
      <c r="C63" s="941"/>
      <c r="D63" s="941"/>
      <c r="E63" s="941"/>
      <c r="F63" s="941"/>
      <c r="G63" s="941"/>
      <c r="H63" s="941"/>
      <c r="I63" s="941"/>
      <c r="J63" s="941"/>
      <c r="K63" s="941"/>
      <c r="L63" s="941"/>
      <c r="M63" s="941"/>
      <c r="N63" s="941"/>
      <c r="O63" s="941"/>
      <c r="P63" s="941"/>
      <c r="Q63" s="941"/>
      <c r="R63" s="941"/>
      <c r="S63" s="941"/>
      <c r="T63" s="941"/>
      <c r="U63" s="53"/>
      <c r="V63" s="53"/>
      <c r="W63" s="53"/>
      <c r="X63" s="53"/>
      <c r="Y63" s="53"/>
      <c r="Z63" s="53"/>
      <c r="AA63" s="53"/>
      <c r="AB63" s="53"/>
      <c r="AC63" s="53"/>
      <c r="AD63" s="53"/>
      <c r="AE63" s="5"/>
      <c r="AF63" s="5"/>
      <c r="AG63" s="5"/>
      <c r="AH63" s="5"/>
      <c r="AI63" s="5"/>
      <c r="AJ63" s="5"/>
      <c r="AK63" s="5"/>
      <c r="AL63" s="5"/>
      <c r="AM63" s="59"/>
      <c r="AN63" s="59"/>
      <c r="AO63" s="59"/>
      <c r="AP63" s="59"/>
      <c r="AQ63" s="59"/>
      <c r="AR63" s="59"/>
      <c r="AS63" s="5"/>
      <c r="AT63" s="60"/>
      <c r="AU63" s="5"/>
      <c r="AV63" s="5"/>
      <c r="AW63" s="5"/>
      <c r="AX63" s="5"/>
      <c r="AY63" s="5"/>
      <c r="AZ63" s="5"/>
      <c r="BA63" s="5"/>
    </row>
    <row r="64" spans="1:55" ht="12.75" customHeight="1">
      <c r="A64" s="5"/>
      <c r="B64" s="942" t="s">
        <v>469</v>
      </c>
      <c r="C64" s="942"/>
      <c r="D64" s="942"/>
      <c r="E64" s="942"/>
      <c r="F64" s="942"/>
      <c r="G64" s="942"/>
      <c r="H64" s="942"/>
      <c r="I64" s="942"/>
      <c r="J64" s="942"/>
      <c r="K64" s="942"/>
      <c r="L64" s="942"/>
      <c r="M64" s="942"/>
      <c r="N64" s="942"/>
      <c r="O64" s="942"/>
      <c r="P64" s="942"/>
      <c r="Q64" s="942"/>
      <c r="R64" s="942"/>
      <c r="S64" s="942"/>
      <c r="T64" s="942"/>
      <c r="U64" s="53"/>
      <c r="V64" s="53"/>
      <c r="W64" s="53"/>
      <c r="X64" s="53"/>
      <c r="Y64" s="53"/>
      <c r="Z64" s="53"/>
      <c r="AA64" s="53"/>
      <c r="AB64" s="53"/>
      <c r="AC64" s="53"/>
      <c r="AD64" s="53"/>
      <c r="AE64" s="5"/>
      <c r="AF64" s="5"/>
      <c r="AG64" s="5"/>
      <c r="AH64" s="5"/>
      <c r="AI64" s="5"/>
      <c r="AJ64" s="5"/>
      <c r="AK64" s="5"/>
      <c r="AL64" s="5"/>
      <c r="AM64" s="59"/>
      <c r="AN64" s="59"/>
      <c r="AO64" s="59"/>
      <c r="AP64" s="59"/>
      <c r="AQ64" s="59"/>
      <c r="AR64" s="59"/>
      <c r="AS64" s="5"/>
      <c r="AT64" s="60"/>
      <c r="AU64" s="5"/>
      <c r="AV64" s="5"/>
      <c r="AW64" s="5"/>
      <c r="AX64" s="5"/>
      <c r="AY64" s="5"/>
      <c r="AZ64" s="5"/>
      <c r="BA64" s="5"/>
    </row>
    <row r="65" spans="1:54">
      <c r="A65" s="5"/>
      <c r="B65" s="941" t="s">
        <v>394</v>
      </c>
      <c r="C65" s="941"/>
      <c r="D65" s="941"/>
      <c r="E65" s="941"/>
      <c r="F65" s="941"/>
      <c r="G65" s="941"/>
      <c r="H65" s="941"/>
      <c r="I65" s="941"/>
      <c r="J65" s="941"/>
      <c r="K65" s="941"/>
      <c r="L65" s="941"/>
      <c r="M65" s="941"/>
      <c r="N65" s="941"/>
      <c r="O65" s="941"/>
      <c r="P65" s="941"/>
      <c r="Q65" s="941"/>
      <c r="R65" s="941"/>
      <c r="S65" s="941"/>
      <c r="T65" s="941"/>
      <c r="U65" s="53"/>
      <c r="V65" s="53"/>
      <c r="W65" s="53"/>
      <c r="X65" s="53"/>
      <c r="Y65" s="53"/>
      <c r="Z65" s="53"/>
      <c r="AA65" s="53"/>
      <c r="AB65" s="53"/>
      <c r="AC65" s="53"/>
      <c r="AD65" s="53"/>
      <c r="AE65" s="5"/>
      <c r="AF65" s="5"/>
      <c r="AG65" s="5"/>
      <c r="AH65" s="5"/>
      <c r="AI65" s="5"/>
      <c r="AJ65" s="5"/>
      <c r="AK65" s="5"/>
      <c r="AL65" s="5"/>
      <c r="AM65" s="59"/>
      <c r="AN65" s="59"/>
      <c r="AO65" s="59"/>
      <c r="AP65" s="59"/>
      <c r="AQ65" s="59"/>
      <c r="AR65" s="59"/>
      <c r="AS65" s="5"/>
      <c r="AT65" s="60"/>
      <c r="AU65" s="5"/>
      <c r="AV65" s="5"/>
      <c r="AW65" s="5"/>
      <c r="AX65" s="5"/>
      <c r="AY65" s="5"/>
      <c r="AZ65" s="5"/>
      <c r="BA65" s="5"/>
    </row>
    <row r="66" spans="1:54" ht="13.5" thickBot="1">
      <c r="A66" s="5"/>
      <c r="B66" s="127"/>
      <c r="C66" s="127"/>
      <c r="D66" s="127"/>
      <c r="E66" s="127"/>
      <c r="F66" s="127"/>
      <c r="G66" s="127"/>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60"/>
      <c r="AU66" s="5"/>
      <c r="AV66" s="5"/>
      <c r="AW66" s="5"/>
      <c r="AX66" s="5"/>
      <c r="AY66" s="5"/>
      <c r="AZ66" s="5"/>
      <c r="BA66" s="5"/>
    </row>
    <row r="67" spans="1:54">
      <c r="A67" s="5"/>
      <c r="B67" s="128" t="s">
        <v>406</v>
      </c>
      <c r="C67" s="128"/>
      <c r="D67" s="53"/>
      <c r="E67" s="53"/>
      <c r="F67" s="53"/>
      <c r="G67" s="53"/>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3"/>
      <c r="AT67" s="53"/>
      <c r="AU67" s="53"/>
      <c r="AV67" s="53"/>
      <c r="AW67" s="53"/>
      <c r="AX67" s="53"/>
      <c r="AY67" s="53"/>
      <c r="AZ67" s="53"/>
      <c r="BA67" s="53"/>
      <c r="BB67" s="53"/>
    </row>
    <row r="68" spans="1:54">
      <c r="A68" s="5"/>
      <c r="B68" s="5" t="s">
        <v>390</v>
      </c>
      <c r="C68" s="816" t="s">
        <v>391</v>
      </c>
      <c r="D68" s="129">
        <f>'Sam-Pojazdy'!Y70</f>
        <v>17516426.583999999</v>
      </c>
      <c r="E68" s="130"/>
      <c r="F68" s="131">
        <f>'Sam-Pojazdy'!AA70</f>
        <v>17201.130905488</v>
      </c>
      <c r="G68" s="53"/>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3"/>
      <c r="AT68" s="53"/>
      <c r="AU68" s="53"/>
      <c r="AV68" s="53"/>
      <c r="AW68" s="53"/>
      <c r="AX68" s="53"/>
      <c r="AY68" s="53"/>
      <c r="AZ68" s="53"/>
      <c r="BA68" s="53"/>
      <c r="BB68" s="53"/>
    </row>
    <row r="69" spans="1:54" ht="13.5" thickBot="1">
      <c r="A69" s="5"/>
      <c r="B69" s="132"/>
      <c r="C69" s="132"/>
      <c r="D69" s="132"/>
      <c r="E69" s="132"/>
      <c r="F69" s="132"/>
      <c r="G69" s="127"/>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3"/>
      <c r="AT69" s="53"/>
      <c r="AU69" s="53"/>
      <c r="AV69" s="53"/>
      <c r="AW69" s="53"/>
      <c r="AX69" s="53"/>
      <c r="AY69" s="53"/>
      <c r="AZ69" s="53"/>
      <c r="BA69" s="53"/>
      <c r="BB69" s="53"/>
    </row>
    <row r="70" spans="1:54">
      <c r="A70" s="5"/>
      <c r="B70" s="133" t="s">
        <v>392</v>
      </c>
      <c r="C70" s="134">
        <v>1</v>
      </c>
      <c r="D70" s="47" t="s">
        <v>405</v>
      </c>
      <c r="E70" s="53"/>
      <c r="F70" s="53"/>
      <c r="G70" s="53"/>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3"/>
      <c r="AT70" s="53"/>
      <c r="AU70" s="53"/>
      <c r="AV70" s="53"/>
      <c r="AW70" s="53"/>
      <c r="AX70" s="53"/>
      <c r="AY70" s="53"/>
      <c r="AZ70" s="53"/>
      <c r="BA70" s="53"/>
      <c r="BB70" s="53"/>
    </row>
    <row r="71" spans="1:54">
      <c r="A71" s="5"/>
      <c r="B71" s="53"/>
      <c r="C71" s="134">
        <v>2</v>
      </c>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row>
    <row r="72" spans="1:54">
      <c r="A72" s="5"/>
      <c r="B72" s="53"/>
      <c r="C72" s="134">
        <v>3</v>
      </c>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row>
    <row r="73" spans="1:54">
      <c r="A73" s="5"/>
      <c r="B73" s="5"/>
      <c r="C73" s="5"/>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row>
    <row r="74" spans="1:54">
      <c r="A74" s="5"/>
      <c r="B74" s="5"/>
      <c r="C74" s="5"/>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row>
    <row r="75" spans="1:54">
      <c r="A75" s="5"/>
      <c r="B75" s="5"/>
      <c r="C75" s="5"/>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row>
    <row r="76" spans="1:54">
      <c r="A76" s="5"/>
      <c r="B76" s="5"/>
      <c r="C76" s="5"/>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row>
    <row r="77" spans="1:54">
      <c r="A77" s="5"/>
      <c r="B77" s="5"/>
      <c r="C77" s="5"/>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row>
    <row r="78" spans="1:54">
      <c r="A78" s="5"/>
      <c r="B78" s="5"/>
      <c r="C78" s="5"/>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row>
    <row r="79" spans="1:54">
      <c r="A79" s="5"/>
      <c r="B79" s="5"/>
      <c r="C79" s="5"/>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row>
    <row r="80" spans="1:54">
      <c r="A80" s="5"/>
      <c r="B80" s="5"/>
      <c r="C80" s="5"/>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row>
    <row r="81" spans="1:54">
      <c r="A81" s="5"/>
      <c r="B81" s="5"/>
      <c r="C81" s="5"/>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row>
    <row r="82" spans="1:54">
      <c r="A82" s="5"/>
      <c r="B82" s="5"/>
      <c r="C82" s="5"/>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row>
    <row r="83" spans="1:54">
      <c r="A83" s="5"/>
      <c r="B83" s="5"/>
      <c r="C83" s="5"/>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row>
    <row r="84" spans="1:54">
      <c r="A84" s="5"/>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row>
    <row r="85" spans="1:54">
      <c r="A85" s="5"/>
      <c r="AS85" s="5"/>
      <c r="AT85" s="60"/>
      <c r="AU85" s="5"/>
      <c r="AV85" s="5"/>
      <c r="AW85" s="5"/>
      <c r="AX85" s="5"/>
      <c r="AY85" s="5"/>
      <c r="AZ85" s="5"/>
      <c r="BA85" s="5"/>
    </row>
    <row r="86" spans="1:54">
      <c r="A86" s="5"/>
      <c r="AS86" s="5"/>
      <c r="AT86" s="60"/>
      <c r="AU86" s="5"/>
      <c r="AV86" s="5"/>
      <c r="AW86" s="5"/>
      <c r="AX86" s="5"/>
      <c r="AY86" s="5"/>
      <c r="AZ86" s="5"/>
      <c r="BA86" s="5"/>
    </row>
    <row r="87" spans="1:54">
      <c r="A87" s="5"/>
      <c r="AS87" s="5"/>
      <c r="AT87" s="60"/>
      <c r="AU87" s="5"/>
      <c r="AV87" s="5"/>
      <c r="AW87" s="5"/>
      <c r="AX87" s="5"/>
      <c r="AY87" s="5"/>
      <c r="AZ87" s="5"/>
      <c r="BA87" s="5"/>
    </row>
    <row r="88" spans="1:54">
      <c r="A88" s="5"/>
      <c r="AS88" s="5"/>
      <c r="AT88" s="60"/>
      <c r="AU88" s="5"/>
      <c r="AV88" s="5"/>
      <c r="AW88" s="5"/>
      <c r="AX88" s="5"/>
      <c r="AY88" s="5"/>
      <c r="AZ88" s="5"/>
      <c r="BA88" s="5"/>
    </row>
    <row r="89" spans="1:54">
      <c r="A89" s="5"/>
      <c r="AS89" s="5"/>
      <c r="AT89" s="60"/>
      <c r="AU89" s="5"/>
      <c r="AV89" s="5"/>
      <c r="AW89" s="5"/>
      <c r="AX89" s="5"/>
      <c r="AY89" s="5"/>
      <c r="AZ89" s="5"/>
      <c r="BA89" s="5"/>
    </row>
    <row r="90" spans="1:54">
      <c r="A90" s="5"/>
      <c r="AS90" s="5"/>
      <c r="AT90" s="60"/>
      <c r="AU90" s="5"/>
      <c r="AV90" s="5"/>
      <c r="AW90" s="5"/>
      <c r="AX90" s="5"/>
      <c r="AY90" s="5"/>
      <c r="AZ90" s="5"/>
      <c r="BA90" s="5"/>
    </row>
    <row r="91" spans="1:54">
      <c r="A91" s="5"/>
      <c r="AS91" s="5"/>
      <c r="AT91" s="60"/>
      <c r="AU91" s="5"/>
      <c r="AV91" s="5"/>
      <c r="AW91" s="5"/>
      <c r="AX91" s="5"/>
      <c r="AY91" s="5"/>
      <c r="AZ91" s="5"/>
      <c r="BA91" s="5"/>
    </row>
    <row r="92" spans="1:54">
      <c r="A92" s="5"/>
      <c r="AS92" s="5"/>
      <c r="AT92" s="60"/>
      <c r="AU92" s="5"/>
      <c r="AV92" s="5"/>
      <c r="AW92" s="5"/>
      <c r="AX92" s="5"/>
      <c r="AY92" s="5"/>
      <c r="AZ92" s="5"/>
      <c r="BA92" s="5"/>
    </row>
    <row r="93" spans="1:54">
      <c r="A93" s="5"/>
      <c r="AS93" s="5"/>
      <c r="AT93" s="60"/>
      <c r="AU93" s="5"/>
      <c r="AV93" s="5"/>
      <c r="AW93" s="5"/>
      <c r="AX93" s="5"/>
      <c r="AY93" s="5"/>
      <c r="AZ93" s="5"/>
      <c r="BA93" s="5"/>
    </row>
    <row r="94" spans="1:54">
      <c r="A94" s="5"/>
      <c r="AS94" s="5"/>
      <c r="AT94" s="60"/>
      <c r="AU94" s="5"/>
      <c r="AV94" s="5"/>
      <c r="AW94" s="5"/>
      <c r="AX94" s="5"/>
      <c r="AY94" s="5"/>
      <c r="AZ94" s="5"/>
      <c r="BA94" s="5"/>
    </row>
    <row r="95" spans="1:54">
      <c r="G95" s="53"/>
      <c r="H95" s="53"/>
      <c r="I95" s="53"/>
      <c r="J95" s="53"/>
      <c r="K95" s="53"/>
      <c r="L95" s="53"/>
      <c r="M95" s="53"/>
      <c r="N95" s="53"/>
      <c r="O95" s="53"/>
      <c r="P95" s="53"/>
      <c r="Q95" s="53"/>
      <c r="R95" s="53"/>
      <c r="S95" s="53"/>
      <c r="T95" s="53"/>
      <c r="U95" s="53"/>
      <c r="V95" s="53"/>
      <c r="W95" s="53"/>
      <c r="X95" s="53"/>
      <c r="Y95" s="53"/>
      <c r="Z95" s="53"/>
      <c r="AA95" s="53"/>
      <c r="AB95" s="53"/>
      <c r="AC95" s="53"/>
      <c r="AD95" s="53"/>
      <c r="AF95" s="5"/>
      <c r="AG95" s="5"/>
      <c r="AH95" s="5"/>
      <c r="AI95" s="5"/>
      <c r="AJ95" s="5"/>
      <c r="AK95" s="5"/>
      <c r="AL95" s="5"/>
      <c r="AM95" s="59"/>
      <c r="AN95" s="59"/>
      <c r="AO95" s="59"/>
      <c r="AP95" s="59"/>
      <c r="AQ95" s="59"/>
      <c r="AR95" s="59"/>
      <c r="AS95" s="5"/>
      <c r="AT95" s="60"/>
      <c r="AU95" s="5"/>
      <c r="AV95" s="5"/>
      <c r="AW95" s="5"/>
      <c r="AX95" s="5"/>
      <c r="AY95" s="5"/>
      <c r="AZ95" s="5"/>
      <c r="BA95" s="5"/>
    </row>
    <row r="96" spans="1:54">
      <c r="G96" s="53"/>
      <c r="H96" s="53"/>
      <c r="I96" s="53"/>
      <c r="J96" s="53"/>
      <c r="K96" s="53"/>
      <c r="L96" s="53"/>
      <c r="M96" s="53"/>
      <c r="N96" s="53"/>
      <c r="O96" s="53"/>
      <c r="P96" s="53"/>
      <c r="Q96" s="53"/>
      <c r="R96" s="53"/>
      <c r="S96" s="53"/>
      <c r="T96" s="53"/>
      <c r="U96" s="53"/>
      <c r="V96" s="53"/>
      <c r="W96" s="53"/>
      <c r="X96" s="53"/>
      <c r="Y96" s="53"/>
      <c r="Z96" s="53"/>
      <c r="AA96" s="53"/>
      <c r="AB96" s="53"/>
      <c r="AC96" s="53"/>
      <c r="AD96" s="53"/>
      <c r="AF96" s="5"/>
      <c r="AG96" s="5"/>
      <c r="AH96" s="5"/>
      <c r="AI96" s="5"/>
      <c r="AJ96" s="5"/>
      <c r="AK96" s="5"/>
      <c r="AL96" s="5"/>
      <c r="AM96" s="59"/>
      <c r="AN96" s="59"/>
      <c r="AO96" s="59"/>
      <c r="AP96" s="59"/>
      <c r="AQ96" s="59"/>
      <c r="AR96" s="59"/>
      <c r="AS96" s="5"/>
      <c r="AT96" s="60"/>
      <c r="AU96" s="5"/>
      <c r="AV96" s="5"/>
      <c r="AW96" s="5"/>
      <c r="AX96" s="5"/>
      <c r="AY96" s="5"/>
      <c r="AZ96" s="5"/>
      <c r="BA96" s="5"/>
    </row>
    <row r="97" spans="7:53">
      <c r="G97" s="53"/>
      <c r="H97" s="53"/>
      <c r="I97" s="53"/>
      <c r="J97" s="53"/>
      <c r="K97" s="53"/>
      <c r="L97" s="53"/>
      <c r="M97" s="53"/>
      <c r="N97" s="53"/>
      <c r="O97" s="53"/>
      <c r="P97" s="53"/>
      <c r="Q97" s="53"/>
      <c r="R97" s="53"/>
      <c r="S97" s="53"/>
      <c r="T97" s="53"/>
      <c r="U97" s="53"/>
      <c r="V97" s="53"/>
      <c r="W97" s="53"/>
      <c r="X97" s="53"/>
      <c r="Y97" s="53"/>
      <c r="Z97" s="53"/>
      <c r="AA97" s="53"/>
      <c r="AB97" s="53"/>
      <c r="AC97" s="53"/>
      <c r="AD97" s="53"/>
      <c r="AF97" s="5"/>
      <c r="AG97" s="5"/>
      <c r="AH97" s="5"/>
      <c r="AI97" s="5"/>
      <c r="AJ97" s="5"/>
      <c r="AK97" s="5"/>
      <c r="AL97" s="5"/>
      <c r="AM97" s="59"/>
      <c r="AN97" s="59"/>
      <c r="AO97" s="59"/>
      <c r="AP97" s="59"/>
      <c r="AQ97" s="59"/>
      <c r="AR97" s="59"/>
      <c r="AS97" s="5"/>
      <c r="AT97" s="60"/>
      <c r="AU97" s="5"/>
      <c r="AV97" s="5"/>
      <c r="AW97" s="5"/>
      <c r="AX97" s="5"/>
      <c r="AY97" s="5"/>
      <c r="AZ97" s="5"/>
      <c r="BA97" s="5"/>
    </row>
    <row r="98" spans="7:53">
      <c r="G98" s="53"/>
      <c r="H98" s="53"/>
      <c r="I98" s="53"/>
      <c r="J98" s="53"/>
      <c r="K98" s="53"/>
      <c r="L98" s="53"/>
      <c r="M98" s="53"/>
      <c r="N98" s="53"/>
      <c r="O98" s="53"/>
      <c r="P98" s="53"/>
      <c r="Q98" s="53"/>
      <c r="R98" s="53"/>
      <c r="S98" s="53"/>
      <c r="T98" s="53"/>
      <c r="U98" s="53"/>
      <c r="V98" s="53"/>
      <c r="W98" s="53"/>
      <c r="X98" s="53"/>
      <c r="Y98" s="53"/>
      <c r="Z98" s="53"/>
      <c r="AA98" s="53"/>
      <c r="AB98" s="53"/>
      <c r="AC98" s="53"/>
      <c r="AD98" s="53"/>
      <c r="AF98" s="5"/>
      <c r="AG98" s="5"/>
      <c r="AH98" s="5"/>
      <c r="AI98" s="5"/>
      <c r="AJ98" s="5"/>
      <c r="AK98" s="5"/>
      <c r="AL98" s="5"/>
      <c r="AM98" s="59"/>
      <c r="AN98" s="59"/>
      <c r="AO98" s="59"/>
      <c r="AP98" s="59"/>
      <c r="AQ98" s="59"/>
      <c r="AR98" s="59"/>
      <c r="AS98" s="5"/>
      <c r="AT98" s="60"/>
    </row>
    <row r="99" spans="7:53">
      <c r="G99" s="53"/>
      <c r="H99" s="53"/>
      <c r="I99" s="53"/>
      <c r="J99" s="53"/>
      <c r="K99" s="53"/>
      <c r="L99" s="53"/>
      <c r="M99" s="53"/>
      <c r="N99" s="53"/>
      <c r="O99" s="53"/>
      <c r="P99" s="53"/>
      <c r="Q99" s="53"/>
      <c r="R99" s="53"/>
      <c r="S99" s="53"/>
      <c r="T99" s="53"/>
      <c r="U99" s="53"/>
      <c r="V99" s="53"/>
      <c r="W99" s="53"/>
      <c r="X99" s="53"/>
      <c r="Y99" s="53"/>
      <c r="Z99" s="53"/>
      <c r="AA99" s="53"/>
      <c r="AB99" s="53"/>
      <c r="AC99" s="53"/>
      <c r="AD99" s="53"/>
      <c r="AF99" s="5"/>
      <c r="AG99" s="5"/>
      <c r="AH99" s="5"/>
      <c r="AI99" s="5"/>
      <c r="AJ99" s="5"/>
      <c r="AK99" s="5"/>
      <c r="AL99" s="5"/>
      <c r="AM99" s="59"/>
      <c r="AN99" s="59"/>
      <c r="AO99" s="59"/>
      <c r="AP99" s="59"/>
      <c r="AQ99" s="59"/>
      <c r="AR99" s="59"/>
      <c r="AS99" s="5"/>
      <c r="AT99" s="60"/>
    </row>
    <row r="100" spans="7: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F100" s="5"/>
      <c r="AG100" s="5"/>
      <c r="AH100" s="5"/>
      <c r="AI100" s="5"/>
      <c r="AJ100" s="5"/>
      <c r="AK100" s="5"/>
      <c r="AL100" s="5"/>
      <c r="AM100" s="59"/>
      <c r="AN100" s="59"/>
      <c r="AO100" s="59"/>
      <c r="AP100" s="59"/>
      <c r="AQ100" s="59"/>
      <c r="AR100" s="59"/>
      <c r="AS100" s="5"/>
      <c r="AT100" s="60"/>
    </row>
    <row r="101" spans="7: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F101" s="5"/>
      <c r="AG101" s="5"/>
      <c r="AH101" s="5"/>
      <c r="AI101" s="5"/>
      <c r="AJ101" s="5"/>
      <c r="AK101" s="5"/>
      <c r="AL101" s="5"/>
      <c r="AM101" s="59"/>
      <c r="AN101" s="59"/>
      <c r="AO101" s="59"/>
      <c r="AP101" s="59"/>
      <c r="AQ101" s="59"/>
      <c r="AR101" s="59"/>
      <c r="AS101" s="5"/>
      <c r="AT101" s="60"/>
    </row>
    <row r="102" spans="7: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F102" s="5"/>
      <c r="AG102" s="5"/>
      <c r="AH102" s="5"/>
      <c r="AI102" s="5"/>
      <c r="AJ102" s="5"/>
      <c r="AK102" s="5"/>
      <c r="AL102" s="5"/>
      <c r="AM102" s="59"/>
      <c r="AN102" s="59"/>
      <c r="AO102" s="59"/>
      <c r="AP102" s="59"/>
      <c r="AQ102" s="59"/>
      <c r="AR102" s="59"/>
      <c r="AS102" s="5"/>
      <c r="AT102" s="60"/>
    </row>
    <row r="103" spans="7: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F103" s="5"/>
      <c r="AG103" s="5"/>
      <c r="AH103" s="5"/>
      <c r="AI103" s="5"/>
      <c r="AJ103" s="5"/>
      <c r="AK103" s="5"/>
      <c r="AL103" s="5"/>
      <c r="AM103" s="59"/>
      <c r="AN103" s="59"/>
      <c r="AO103" s="59"/>
      <c r="AP103" s="59"/>
      <c r="AQ103" s="59"/>
      <c r="AR103" s="59"/>
      <c r="AS103" s="5"/>
      <c r="AT103" s="60"/>
    </row>
    <row r="104" spans="7: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F104" s="5"/>
      <c r="AG104" s="5"/>
      <c r="AH104" s="5"/>
      <c r="AI104" s="5"/>
      <c r="AJ104" s="5"/>
      <c r="AK104" s="5"/>
      <c r="AL104" s="5"/>
      <c r="AM104" s="59"/>
      <c r="AN104" s="59"/>
      <c r="AO104" s="59"/>
      <c r="AP104" s="59"/>
      <c r="AQ104" s="59"/>
      <c r="AR104" s="59"/>
      <c r="AS104" s="5"/>
      <c r="AT104" s="60"/>
    </row>
    <row r="105" spans="7: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F105" s="5"/>
      <c r="AG105" s="5"/>
      <c r="AH105" s="5"/>
      <c r="AI105" s="5"/>
      <c r="AJ105" s="5"/>
      <c r="AK105" s="5"/>
      <c r="AL105" s="5"/>
      <c r="AM105" s="59"/>
      <c r="AN105" s="59"/>
      <c r="AO105" s="59"/>
      <c r="AP105" s="59"/>
      <c r="AQ105" s="59"/>
      <c r="AR105" s="59"/>
      <c r="AS105" s="5"/>
      <c r="AT105" s="60"/>
    </row>
    <row r="106" spans="7: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F106" s="5"/>
      <c r="AG106" s="5"/>
      <c r="AH106" s="5"/>
      <c r="AI106" s="5"/>
      <c r="AJ106" s="5"/>
      <c r="AK106" s="5"/>
      <c r="AL106" s="5"/>
      <c r="AM106" s="59"/>
      <c r="AN106" s="59"/>
      <c r="AO106" s="59"/>
      <c r="AP106" s="59"/>
      <c r="AQ106" s="59"/>
      <c r="AR106" s="59"/>
      <c r="AS106" s="5"/>
      <c r="AT106" s="60"/>
    </row>
    <row r="107" spans="7: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F107" s="5"/>
      <c r="AG107" s="5"/>
      <c r="AH107" s="5"/>
      <c r="AI107" s="5"/>
      <c r="AJ107" s="5"/>
      <c r="AK107" s="5"/>
      <c r="AL107" s="5"/>
      <c r="AM107" s="59"/>
      <c r="AN107" s="59"/>
      <c r="AO107" s="59"/>
      <c r="AP107" s="59"/>
      <c r="AQ107" s="59"/>
      <c r="AR107" s="59"/>
      <c r="AS107" s="5"/>
      <c r="AT107" s="60"/>
    </row>
    <row r="108" spans="7: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F108" s="5"/>
      <c r="AG108" s="5"/>
      <c r="AH108" s="5"/>
      <c r="AI108" s="5"/>
      <c r="AJ108" s="5"/>
      <c r="AK108" s="5"/>
      <c r="AL108" s="5"/>
      <c r="AM108" s="59"/>
      <c r="AN108" s="59"/>
      <c r="AO108" s="59"/>
      <c r="AP108" s="59"/>
      <c r="AQ108" s="59"/>
      <c r="AR108" s="59"/>
      <c r="AS108" s="5"/>
    </row>
    <row r="109" spans="7: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F109" s="5"/>
      <c r="AG109" s="5"/>
      <c r="AH109" s="5"/>
      <c r="AI109" s="5"/>
      <c r="AJ109" s="5"/>
      <c r="AK109" s="5"/>
      <c r="AL109" s="5"/>
      <c r="AM109" s="59"/>
      <c r="AN109" s="59"/>
      <c r="AO109" s="59"/>
      <c r="AP109" s="59"/>
      <c r="AQ109" s="59"/>
      <c r="AR109" s="59"/>
      <c r="AS109" s="5"/>
    </row>
    <row r="110" spans="7: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F110" s="5"/>
      <c r="AG110" s="5"/>
      <c r="AH110" s="5"/>
      <c r="AI110" s="5"/>
      <c r="AJ110" s="5"/>
      <c r="AK110" s="5"/>
      <c r="AL110" s="5"/>
      <c r="AM110" s="59"/>
      <c r="AN110" s="59"/>
      <c r="AO110" s="59"/>
      <c r="AP110" s="59"/>
      <c r="AQ110" s="59"/>
      <c r="AR110" s="59"/>
      <c r="AS110" s="5"/>
    </row>
    <row r="111" spans="7: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F111" s="5"/>
      <c r="AG111" s="5"/>
      <c r="AH111" s="5"/>
      <c r="AI111" s="5"/>
      <c r="AJ111" s="5"/>
      <c r="AK111" s="5"/>
      <c r="AL111" s="5"/>
      <c r="AM111" s="59"/>
      <c r="AN111" s="59"/>
      <c r="AO111" s="59"/>
      <c r="AP111" s="59"/>
      <c r="AQ111" s="59"/>
      <c r="AR111" s="59"/>
      <c r="AS111" s="5"/>
    </row>
    <row r="112" spans="7: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F112" s="5"/>
      <c r="AG112" s="5"/>
      <c r="AH112" s="5"/>
      <c r="AI112" s="5"/>
      <c r="AJ112" s="5"/>
      <c r="AK112" s="5"/>
      <c r="AL112" s="5"/>
      <c r="AM112" s="59"/>
      <c r="AN112" s="59"/>
      <c r="AO112" s="59"/>
      <c r="AP112" s="59"/>
      <c r="AQ112" s="59"/>
      <c r="AR112" s="59"/>
      <c r="AS112" s="5"/>
    </row>
    <row r="113" spans="2:45">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F113" s="5"/>
      <c r="AG113" s="5"/>
      <c r="AH113" s="5"/>
      <c r="AI113" s="5"/>
      <c r="AJ113" s="5"/>
      <c r="AK113" s="5"/>
      <c r="AL113" s="5"/>
      <c r="AM113" s="59"/>
      <c r="AN113" s="59"/>
      <c r="AO113" s="59"/>
      <c r="AP113" s="59"/>
      <c r="AQ113" s="59"/>
      <c r="AR113" s="59"/>
      <c r="AS113" s="5"/>
    </row>
    <row r="114" spans="2:45">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F114" s="5"/>
      <c r="AG114" s="5"/>
      <c r="AH114" s="5"/>
      <c r="AI114" s="5"/>
      <c r="AJ114" s="5"/>
      <c r="AK114" s="5"/>
      <c r="AL114" s="5"/>
      <c r="AM114" s="59"/>
      <c r="AN114" s="59"/>
      <c r="AO114" s="59"/>
      <c r="AP114" s="59"/>
      <c r="AQ114" s="59"/>
      <c r="AR114" s="59"/>
      <c r="AS114" s="5"/>
    </row>
    <row r="115" spans="2:45">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F115" s="5"/>
      <c r="AG115" s="5"/>
      <c r="AH115" s="5"/>
      <c r="AI115" s="5"/>
      <c r="AJ115" s="5"/>
      <c r="AK115" s="5"/>
      <c r="AL115" s="5"/>
      <c r="AM115" s="59"/>
      <c r="AN115" s="59"/>
      <c r="AO115" s="59"/>
      <c r="AP115" s="59"/>
      <c r="AQ115" s="59"/>
      <c r="AR115" s="59"/>
      <c r="AS115" s="5"/>
    </row>
    <row r="116" spans="2:45">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F116" s="5"/>
      <c r="AG116" s="5"/>
      <c r="AH116" s="5"/>
      <c r="AI116" s="5"/>
      <c r="AJ116" s="5"/>
      <c r="AK116" s="5"/>
      <c r="AL116" s="5"/>
      <c r="AM116" s="59"/>
      <c r="AN116" s="59"/>
      <c r="AO116" s="59"/>
      <c r="AP116" s="59"/>
      <c r="AQ116" s="59"/>
      <c r="AR116" s="59"/>
      <c r="AS116" s="5"/>
    </row>
    <row r="117" spans="2:45">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F117" s="5"/>
      <c r="AG117" s="5"/>
      <c r="AH117" s="5"/>
      <c r="AI117" s="5"/>
      <c r="AJ117" s="5"/>
      <c r="AK117" s="5"/>
      <c r="AL117" s="5"/>
      <c r="AM117" s="59"/>
      <c r="AN117" s="59"/>
      <c r="AO117" s="59"/>
      <c r="AP117" s="59"/>
      <c r="AQ117" s="59"/>
      <c r="AR117" s="59"/>
      <c r="AS117" s="5"/>
    </row>
    <row r="118" spans="2:45">
      <c r="B118" s="5"/>
      <c r="C118" s="5"/>
      <c r="D118" s="53"/>
      <c r="E118" s="53"/>
      <c r="F118" s="53"/>
    </row>
    <row r="119" spans="2:45">
      <c r="B119" s="5"/>
      <c r="C119" s="5"/>
      <c r="D119" s="53"/>
      <c r="E119" s="53"/>
      <c r="F119" s="53"/>
    </row>
    <row r="120" spans="2:45">
      <c r="B120" s="5"/>
      <c r="C120" s="5"/>
      <c r="D120" s="53"/>
      <c r="E120" s="53"/>
      <c r="F120" s="53"/>
    </row>
    <row r="121" spans="2:45">
      <c r="B121" s="5"/>
      <c r="C121" s="5"/>
      <c r="D121" s="53"/>
      <c r="E121" s="53"/>
      <c r="F121" s="53"/>
    </row>
    <row r="122" spans="2:45">
      <c r="B122" s="5"/>
      <c r="C122" s="5"/>
      <c r="D122" s="53"/>
      <c r="E122" s="53"/>
      <c r="F122" s="53"/>
    </row>
    <row r="123" spans="2:45">
      <c r="B123" s="5"/>
      <c r="C123" s="5"/>
      <c r="D123" s="53"/>
      <c r="E123" s="53"/>
      <c r="F123" s="53"/>
    </row>
    <row r="124" spans="2:45">
      <c r="B124" s="5"/>
      <c r="C124" s="5"/>
      <c r="D124" s="53"/>
      <c r="E124" s="53"/>
      <c r="F124" s="53"/>
    </row>
    <row r="125" spans="2:45">
      <c r="B125" s="5"/>
      <c r="C125" s="5"/>
      <c r="D125" s="53"/>
      <c r="E125" s="53"/>
      <c r="F125" s="53"/>
    </row>
    <row r="126" spans="2:45">
      <c r="B126" s="5"/>
      <c r="C126" s="5"/>
      <c r="D126" s="53"/>
      <c r="E126" s="53"/>
      <c r="F126" s="53"/>
    </row>
    <row r="127" spans="2:45">
      <c r="B127" s="5"/>
      <c r="C127" s="5"/>
      <c r="D127" s="53"/>
      <c r="E127" s="53"/>
      <c r="F127" s="53"/>
    </row>
    <row r="128" spans="2:45">
      <c r="B128" s="5"/>
      <c r="C128" s="5"/>
      <c r="D128" s="53"/>
      <c r="E128" s="53"/>
      <c r="F128" s="53"/>
    </row>
    <row r="129" spans="2:6">
      <c r="B129" s="5"/>
      <c r="C129" s="5"/>
      <c r="D129" s="53"/>
      <c r="E129" s="53"/>
      <c r="F129" s="53"/>
    </row>
    <row r="130" spans="2:6">
      <c r="B130" s="5"/>
      <c r="C130" s="5"/>
      <c r="D130" s="53"/>
      <c r="E130" s="53"/>
      <c r="F130" s="53"/>
    </row>
    <row r="131" spans="2:6">
      <c r="B131" s="5"/>
      <c r="C131" s="5"/>
      <c r="D131" s="53"/>
      <c r="E131" s="53"/>
      <c r="F131" s="53"/>
    </row>
    <row r="132" spans="2:6">
      <c r="B132" s="5"/>
      <c r="C132" s="5"/>
      <c r="D132" s="53"/>
      <c r="E132" s="53"/>
      <c r="F132" s="53"/>
    </row>
    <row r="133" spans="2:6">
      <c r="B133" s="5"/>
      <c r="C133" s="5"/>
      <c r="D133" s="53"/>
      <c r="E133" s="53"/>
      <c r="F133" s="53"/>
    </row>
    <row r="134" spans="2:6">
      <c r="B134" s="5"/>
      <c r="C134" s="5"/>
      <c r="D134" s="53"/>
      <c r="E134" s="53"/>
      <c r="F134" s="53"/>
    </row>
    <row r="135" spans="2:6">
      <c r="B135" s="5"/>
      <c r="C135" s="5"/>
      <c r="D135" s="53"/>
      <c r="E135" s="53"/>
      <c r="F135" s="53"/>
    </row>
    <row r="136" spans="2:6">
      <c r="B136" s="5"/>
      <c r="C136" s="5"/>
      <c r="D136" s="53"/>
      <c r="E136" s="53"/>
      <c r="F136" s="53"/>
    </row>
    <row r="137" spans="2:6">
      <c r="B137" s="5"/>
      <c r="C137" s="5"/>
      <c r="D137" s="53"/>
      <c r="E137" s="53"/>
      <c r="F137" s="53"/>
    </row>
    <row r="138" spans="2:6">
      <c r="B138" s="5"/>
      <c r="C138" s="5"/>
      <c r="D138" s="53"/>
      <c r="E138" s="53"/>
      <c r="F138" s="53"/>
    </row>
    <row r="139" spans="2:6">
      <c r="B139" s="5"/>
      <c r="C139" s="5"/>
      <c r="D139" s="53"/>
      <c r="E139" s="53"/>
      <c r="F139" s="53"/>
    </row>
    <row r="140" spans="2:6">
      <c r="B140" s="5"/>
      <c r="C140" s="5"/>
      <c r="D140" s="53"/>
      <c r="E140" s="53"/>
      <c r="F140" s="53"/>
    </row>
  </sheetData>
  <mergeCells count="18">
    <mergeCell ref="AB8:AD8"/>
    <mergeCell ref="J8:L8"/>
    <mergeCell ref="M8:O8"/>
    <mergeCell ref="AQ8:AR8"/>
    <mergeCell ref="P8:R8"/>
    <mergeCell ref="S8:U8"/>
    <mergeCell ref="V8:X8"/>
    <mergeCell ref="Y8:AA8"/>
    <mergeCell ref="AE8:AG8"/>
    <mergeCell ref="AH8:AJ8"/>
    <mergeCell ref="C1:H1"/>
    <mergeCell ref="B3:L3"/>
    <mergeCell ref="D6:Q6"/>
    <mergeCell ref="B63:T63"/>
    <mergeCell ref="B64:T64"/>
    <mergeCell ref="B65:T65"/>
    <mergeCell ref="D8:F8"/>
    <mergeCell ref="G8:I8"/>
  </mergeCells>
  <phoneticPr fontId="37" type="noConversion"/>
  <pageMargins left="0.55000000000000004" right="0.55972222222222223" top="0.67013888888888884" bottom="0.62986111111111109" header="0.4" footer="0.4"/>
  <pageSetup paperSize="9" scale="70" firstPageNumber="0" orientation="landscape" horizontalDpi="300" verticalDpi="300" r:id="rId1"/>
  <headerFooter alignWithMargins="0">
    <oddHeader>&amp;LLG Name&amp;CGovt Operations - Buildings Sector&amp;RPage &amp;P of &amp;N</oddHeader>
    <oddFooter>&amp;LFile: &amp;F&amp;R&amp;D</oddFooter>
  </headerFooter>
  <colBreaks count="3" manualBreakCount="3">
    <brk id="15" max="1048575" man="1"/>
    <brk id="30" max="1048575" man="1"/>
    <brk id="46"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BC214"/>
  <sheetViews>
    <sheetView zoomScaleNormal="100" workbookViewId="0">
      <pane xSplit="3" ySplit="9" topLeftCell="U10" activePane="bottomRight" state="frozen"/>
      <selection pane="topRight" activeCell="D1" sqref="D1"/>
      <selection pane="bottomLeft" activeCell="A10" sqref="A10"/>
      <selection pane="bottomRight" activeCell="AC40" sqref="AC40"/>
    </sheetView>
  </sheetViews>
  <sheetFormatPr defaultRowHeight="12.75"/>
  <cols>
    <col min="1" max="1" width="4.33203125" style="135" customWidth="1"/>
    <col min="2" max="2" width="72.5" customWidth="1"/>
    <col min="3" max="3" width="9.83203125" style="136" customWidth="1"/>
    <col min="4" max="4" width="11.6640625" style="136" customWidth="1"/>
    <col min="5" max="5" width="8.33203125" style="136" customWidth="1"/>
    <col min="6" max="6" width="6.6640625" style="136" customWidth="1"/>
    <col min="7" max="7" width="12.1640625" style="136" customWidth="1"/>
    <col min="8" max="8" width="10" style="136" customWidth="1"/>
    <col min="9" max="9" width="15.33203125" style="136" customWidth="1"/>
    <col min="10" max="10" width="7" style="136" customWidth="1"/>
    <col min="11" max="11" width="11" style="136" customWidth="1"/>
    <col min="12" max="12" width="9.1640625" style="136" customWidth="1"/>
    <col min="13" max="13" width="8.83203125" style="136" customWidth="1"/>
    <col min="14" max="14" width="11" style="136" customWidth="1"/>
    <col min="15" max="15" width="10.33203125" style="136" customWidth="1"/>
    <col min="16" max="16" width="8.33203125" style="136" customWidth="1"/>
    <col min="17" max="17" width="11.83203125" style="136" customWidth="1"/>
    <col min="18" max="18" width="9.1640625" style="136" customWidth="1"/>
    <col min="19" max="19" width="9.6640625" style="136" customWidth="1"/>
    <col min="20" max="20" width="10.6640625" style="136" customWidth="1"/>
    <col min="21" max="21" width="9.1640625" style="136" customWidth="1"/>
    <col min="22" max="22" width="9.33203125" style="136"/>
    <col min="23" max="23" width="11.33203125" style="136" customWidth="1"/>
    <col min="24" max="24" width="9.6640625" style="136" customWidth="1"/>
    <col min="25" max="25" width="8.33203125" style="136" customWidth="1"/>
    <col min="26" max="26" width="10.6640625" customWidth="1"/>
    <col min="27" max="27" width="10.1640625" style="136" customWidth="1"/>
    <col min="28" max="28" width="10.33203125" style="136" customWidth="1"/>
    <col min="29" max="29" width="11.1640625" customWidth="1"/>
    <col min="30" max="30" width="4.33203125" customWidth="1"/>
    <col min="31" max="31" width="56.1640625" style="136" customWidth="1"/>
    <col min="32" max="32" width="11.6640625" style="136" customWidth="1"/>
    <col min="33" max="33" width="13.6640625" customWidth="1"/>
    <col min="34" max="34" width="13" customWidth="1"/>
    <col min="35" max="35" width="11.33203125" style="136" customWidth="1"/>
    <col min="36" max="36" width="13.6640625" customWidth="1"/>
    <col min="37" max="37" width="12.1640625" customWidth="1"/>
    <col min="38" max="38" width="9.83203125" customWidth="1"/>
    <col min="39" max="39" width="11.33203125" customWidth="1"/>
    <col min="40" max="40" width="11.1640625" customWidth="1"/>
    <col min="41" max="41" width="2.83203125" customWidth="1"/>
    <col min="42" max="42" width="29.6640625" style="137" customWidth="1"/>
    <col min="43" max="43" width="17.83203125" customWidth="1"/>
  </cols>
  <sheetData>
    <row r="1" spans="1:55" s="144" customFormat="1" ht="15">
      <c r="A1" s="138"/>
      <c r="B1" s="51" t="s">
        <v>346</v>
      </c>
      <c r="C1" s="948" t="str">
        <f>Ogolne!D5</f>
        <v>Bydgoszcz</v>
      </c>
      <c r="D1" s="948"/>
      <c r="E1" s="948"/>
      <c r="F1" s="948"/>
      <c r="G1" s="948"/>
      <c r="H1" s="948"/>
      <c r="I1" s="948"/>
      <c r="J1" s="770"/>
      <c r="K1" s="140"/>
      <c r="L1" s="140"/>
      <c r="M1" s="140"/>
      <c r="N1" s="140"/>
      <c r="O1" s="140"/>
      <c r="P1" s="140"/>
      <c r="Q1" s="140"/>
      <c r="R1" s="141"/>
      <c r="S1" s="140"/>
      <c r="T1" s="140"/>
      <c r="U1" s="140"/>
      <c r="V1" s="140"/>
      <c r="W1" s="140"/>
      <c r="X1" s="140"/>
      <c r="Y1" s="140"/>
      <c r="Z1" s="140"/>
      <c r="AA1" s="140"/>
      <c r="AB1" s="140"/>
      <c r="AC1" s="140"/>
      <c r="AD1" s="138"/>
      <c r="AE1" s="138"/>
      <c r="AF1" s="138"/>
      <c r="AG1" s="138"/>
      <c r="AH1" s="138"/>
      <c r="AI1" s="138"/>
      <c r="AJ1" s="138"/>
      <c r="AK1" s="138"/>
      <c r="AL1" s="142"/>
      <c r="AM1" s="142"/>
      <c r="AN1" s="142"/>
      <c r="AO1" s="142"/>
      <c r="AP1" s="142"/>
      <c r="AQ1" s="142"/>
      <c r="AR1" s="138"/>
      <c r="AS1" s="143"/>
      <c r="AT1" s="138"/>
      <c r="AU1" s="138"/>
      <c r="AV1" s="138"/>
      <c r="AW1" s="138"/>
      <c r="AX1" s="138"/>
      <c r="AY1" s="138"/>
      <c r="AZ1" s="138"/>
      <c r="BA1" s="138"/>
    </row>
    <row r="2" spans="1:55">
      <c r="A2" s="145"/>
      <c r="B2" s="146"/>
      <c r="C2" s="145"/>
      <c r="D2" s="145"/>
      <c r="E2" s="145"/>
      <c r="F2" s="145"/>
      <c r="G2" s="145"/>
      <c r="H2" s="145"/>
      <c r="I2" s="145"/>
      <c r="J2" s="145"/>
      <c r="K2" s="145"/>
      <c r="M2" s="145"/>
      <c r="N2" s="145"/>
      <c r="O2" s="145"/>
      <c r="P2" s="145"/>
      <c r="Q2" s="145"/>
      <c r="R2" s="145"/>
      <c r="S2" s="145"/>
      <c r="T2" s="145"/>
      <c r="U2" s="145"/>
      <c r="W2" s="145"/>
      <c r="X2" s="145"/>
      <c r="Z2" s="145"/>
      <c r="AA2" s="145"/>
      <c r="AB2" s="145"/>
      <c r="AC2" s="146"/>
      <c r="AD2" s="145"/>
      <c r="AE2" s="145"/>
      <c r="AF2" s="145"/>
      <c r="AG2" s="146"/>
      <c r="AH2" s="146"/>
      <c r="AI2" s="145"/>
      <c r="AJ2" s="146"/>
      <c r="AK2" s="146"/>
      <c r="AL2" s="146"/>
      <c r="AM2" s="146"/>
      <c r="AN2" s="146"/>
      <c r="AO2" s="146"/>
      <c r="AP2" s="147"/>
      <c r="AQ2" s="146"/>
      <c r="AR2" s="146"/>
      <c r="AS2" s="146"/>
      <c r="AT2" s="146"/>
      <c r="AU2" s="146"/>
      <c r="AV2" s="146"/>
      <c r="AW2" s="146"/>
      <c r="AX2" s="146"/>
      <c r="AY2" s="146"/>
      <c r="AZ2" s="146"/>
      <c r="BA2" s="146"/>
      <c r="BB2" s="146"/>
    </row>
    <row r="3" spans="1:55" ht="26.25">
      <c r="A3" s="145"/>
      <c r="B3" s="934" t="s">
        <v>408</v>
      </c>
      <c r="C3" s="934"/>
      <c r="D3" s="934"/>
      <c r="E3" s="934"/>
      <c r="F3" s="934"/>
      <c r="G3" s="934"/>
      <c r="H3" s="934"/>
      <c r="I3" s="934"/>
      <c r="J3" s="934"/>
      <c r="K3" s="934"/>
      <c r="L3" s="145"/>
      <c r="M3" s="145"/>
      <c r="N3" s="145"/>
      <c r="P3" s="145"/>
      <c r="Q3" s="145"/>
      <c r="R3" s="145"/>
      <c r="S3" s="145"/>
      <c r="T3" s="145"/>
      <c r="U3" s="145"/>
      <c r="V3" s="145"/>
      <c r="W3" s="145"/>
      <c r="Y3" s="145"/>
      <c r="Z3" s="145"/>
      <c r="AB3" s="145"/>
      <c r="AD3" s="145"/>
      <c r="AE3" s="148"/>
      <c r="AF3" s="148"/>
      <c r="AG3" s="145"/>
      <c r="AH3" s="145"/>
      <c r="AI3" s="145"/>
      <c r="AJ3" s="146"/>
      <c r="AK3" s="146"/>
      <c r="AL3" s="146"/>
      <c r="AM3" s="146"/>
      <c r="AN3" s="146"/>
      <c r="AO3" s="146"/>
      <c r="AP3" s="147"/>
      <c r="AQ3" s="146"/>
      <c r="AR3" s="146"/>
      <c r="AS3" s="146"/>
      <c r="AT3" s="146"/>
      <c r="AU3" s="146"/>
      <c r="AV3" s="146"/>
      <c r="AW3" s="146"/>
      <c r="AX3" s="146"/>
      <c r="AY3" s="146"/>
      <c r="AZ3" s="146"/>
      <c r="BA3" s="146"/>
      <c r="BB3" s="146"/>
    </row>
    <row r="4" spans="1:55" ht="15.75">
      <c r="A4" s="145"/>
      <c r="B4" s="61" t="s">
        <v>395</v>
      </c>
      <c r="C4" s="150">
        <f>corpyear</f>
        <v>2005</v>
      </c>
      <c r="D4" s="151"/>
      <c r="E4" s="145"/>
      <c r="F4" s="145"/>
      <c r="G4" s="145"/>
      <c r="H4" s="145"/>
      <c r="I4" s="145"/>
      <c r="J4" s="145"/>
      <c r="K4" s="145"/>
      <c r="L4" s="145"/>
      <c r="M4" s="145"/>
      <c r="N4" s="145"/>
      <c r="O4" s="145"/>
      <c r="P4" s="145"/>
      <c r="Q4" s="145"/>
      <c r="R4" s="145"/>
      <c r="S4" s="145"/>
      <c r="T4" s="145"/>
      <c r="U4" s="949" t="s">
        <v>420</v>
      </c>
      <c r="V4" s="949"/>
      <c r="W4" s="949"/>
      <c r="X4" s="950" t="s">
        <v>422</v>
      </c>
      <c r="Y4" s="949"/>
      <c r="Z4" s="949"/>
      <c r="AA4" s="145"/>
      <c r="AB4" s="145"/>
      <c r="AC4" s="145"/>
      <c r="AD4" s="145"/>
      <c r="AE4" s="145"/>
      <c r="AF4" s="145"/>
      <c r="AG4" s="146"/>
      <c r="AH4" s="146"/>
      <c r="AI4" s="145"/>
      <c r="AJ4" s="146"/>
      <c r="AK4" s="146"/>
      <c r="AL4" s="146"/>
      <c r="AM4" s="146"/>
      <c r="AN4" s="146"/>
      <c r="AO4" s="146"/>
      <c r="AP4" s="147"/>
      <c r="AQ4" s="146"/>
      <c r="AR4" s="146"/>
      <c r="AS4" s="146"/>
      <c r="AT4" s="146"/>
      <c r="AU4" s="146"/>
      <c r="AV4" s="146"/>
      <c r="AW4" s="146"/>
      <c r="AX4" s="146"/>
      <c r="AY4" s="146"/>
      <c r="AZ4" s="146"/>
      <c r="BA4" s="146"/>
      <c r="BB4" s="146"/>
    </row>
    <row r="5" spans="1:55" ht="11.25" customHeight="1" thickBot="1">
      <c r="A5" s="145"/>
      <c r="B5" s="152"/>
      <c r="C5" s="151"/>
      <c r="D5" s="151"/>
      <c r="E5" s="145"/>
      <c r="F5" s="145"/>
      <c r="G5" s="145"/>
      <c r="H5" s="145"/>
      <c r="I5" s="145"/>
      <c r="J5" s="145"/>
      <c r="K5" s="145"/>
      <c r="L5" s="145"/>
      <c r="M5" s="145"/>
      <c r="N5" s="145"/>
      <c r="O5" s="145"/>
      <c r="P5" s="145"/>
      <c r="Q5" s="145"/>
      <c r="R5" s="145"/>
      <c r="S5" s="145"/>
      <c r="T5" s="145"/>
      <c r="U5" s="153"/>
      <c r="V5" s="819" t="s">
        <v>421</v>
      </c>
      <c r="W5" s="155"/>
      <c r="X5" s="153"/>
      <c r="Y5" s="154" t="s">
        <v>421</v>
      </c>
      <c r="Z5" s="155"/>
      <c r="AA5" s="145"/>
      <c r="AB5" s="145"/>
      <c r="AC5" s="145"/>
      <c r="AD5" s="145"/>
      <c r="AE5" s="145"/>
      <c r="AF5" s="145"/>
      <c r="AG5" s="146"/>
      <c r="AH5" s="146"/>
      <c r="AI5" s="145"/>
      <c r="AJ5" s="146"/>
      <c r="AK5" s="146"/>
      <c r="AL5" s="146"/>
      <c r="AM5" s="146"/>
      <c r="AN5" s="146"/>
      <c r="AO5" s="146"/>
      <c r="AP5" s="147"/>
      <c r="AQ5" s="146"/>
      <c r="AR5" s="146"/>
      <c r="AS5" s="146"/>
      <c r="AT5" s="146"/>
      <c r="AU5" s="146"/>
      <c r="AV5" s="146"/>
      <c r="AW5" s="146"/>
      <c r="AX5" s="146"/>
      <c r="AY5" s="146"/>
      <c r="AZ5" s="146"/>
      <c r="BA5" s="146"/>
      <c r="BB5" s="146"/>
    </row>
    <row r="6" spans="1:55" ht="12.75" hidden="1" customHeight="1" thickBot="1">
      <c r="A6" s="145"/>
      <c r="B6" s="156" t="s">
        <v>442</v>
      </c>
      <c r="C6" s="951" t="s">
        <v>39</v>
      </c>
      <c r="D6" s="951"/>
      <c r="E6" s="951"/>
      <c r="F6" s="951"/>
      <c r="G6" s="951"/>
      <c r="H6" s="951"/>
      <c r="I6" s="951"/>
      <c r="J6" s="951"/>
      <c r="K6" s="951"/>
      <c r="L6" s="145"/>
      <c r="M6" s="145"/>
      <c r="N6" s="145"/>
      <c r="O6" s="145"/>
      <c r="P6" s="145"/>
      <c r="Q6" s="145"/>
      <c r="R6" s="145"/>
      <c r="S6" s="145"/>
      <c r="T6" s="145"/>
      <c r="U6" s="157" t="s">
        <v>432</v>
      </c>
      <c r="V6" s="158"/>
      <c r="W6" s="159">
        <v>0.5</v>
      </c>
      <c r="X6" s="158" t="s">
        <v>433</v>
      </c>
      <c r="Y6" s="158"/>
      <c r="Z6" s="159">
        <v>0.25</v>
      </c>
      <c r="AB6" s="145"/>
      <c r="AD6" s="145"/>
      <c r="AE6" s="145"/>
      <c r="AF6" s="145"/>
      <c r="AG6" s="146"/>
      <c r="AH6" s="146"/>
      <c r="AI6" s="145"/>
      <c r="AJ6" s="146"/>
      <c r="AK6" s="146"/>
      <c r="AL6" s="146"/>
      <c r="AM6" s="146"/>
      <c r="AN6" s="146"/>
      <c r="AO6" s="146"/>
      <c r="AP6" s="147"/>
      <c r="AQ6" s="146"/>
      <c r="AR6" s="146"/>
      <c r="AS6" s="146"/>
      <c r="AT6" s="146"/>
      <c r="AU6" s="146"/>
      <c r="AV6" s="146"/>
      <c r="AW6" s="146"/>
      <c r="AX6" s="146"/>
      <c r="AY6" s="146"/>
      <c r="AZ6" s="146"/>
      <c r="BA6" s="146"/>
      <c r="BB6" s="146"/>
    </row>
    <row r="7" spans="1:55" ht="12.75" hidden="1" customHeight="1" thickBot="1">
      <c r="A7" s="145"/>
      <c r="B7" s="152"/>
      <c r="C7" s="151"/>
      <c r="D7" s="151"/>
      <c r="E7" s="145"/>
      <c r="F7" s="145"/>
      <c r="G7" s="145"/>
      <c r="H7" s="145"/>
      <c r="I7" s="145"/>
      <c r="J7" s="145"/>
      <c r="K7" s="145"/>
      <c r="L7" s="145"/>
      <c r="M7" s="145"/>
      <c r="N7" s="145"/>
      <c r="O7" s="145"/>
      <c r="P7" s="145"/>
      <c r="Q7" s="145"/>
      <c r="R7" s="145"/>
      <c r="S7" s="145"/>
      <c r="T7" s="145"/>
      <c r="U7" s="145"/>
      <c r="V7" s="145"/>
      <c r="W7" s="145"/>
      <c r="X7" s="145"/>
      <c r="Y7" s="145"/>
      <c r="Z7" s="146"/>
      <c r="AA7" s="145"/>
      <c r="AB7" s="145"/>
      <c r="AC7" s="146"/>
      <c r="AD7" s="145"/>
      <c r="AE7" s="145"/>
      <c r="AF7" s="145"/>
      <c r="AG7" s="146"/>
      <c r="AH7" s="146"/>
      <c r="AI7" s="145"/>
      <c r="AJ7" s="146"/>
      <c r="AK7" s="146"/>
      <c r="AL7" s="146"/>
      <c r="AM7" s="146"/>
      <c r="AN7" s="146"/>
      <c r="AO7" s="146"/>
      <c r="AP7" s="147"/>
      <c r="AQ7" s="146"/>
      <c r="AR7" s="146"/>
      <c r="AS7" s="146"/>
      <c r="AT7" s="146"/>
      <c r="AU7" s="146"/>
      <c r="AV7" s="146"/>
      <c r="AW7" s="146"/>
      <c r="AX7" s="146"/>
      <c r="AY7" s="146"/>
      <c r="AZ7" s="146"/>
      <c r="BA7" s="146"/>
      <c r="BB7" s="146"/>
    </row>
    <row r="8" spans="1:55" s="166" customFormat="1">
      <c r="A8" s="145"/>
      <c r="B8" s="160"/>
      <c r="C8" s="161"/>
      <c r="D8" s="947" t="s">
        <v>413</v>
      </c>
      <c r="E8" s="947"/>
      <c r="F8" s="947"/>
      <c r="G8" s="947"/>
      <c r="H8" s="947" t="s">
        <v>415</v>
      </c>
      <c r="I8" s="947"/>
      <c r="J8" s="947"/>
      <c r="K8" s="947"/>
      <c r="L8" s="947" t="s">
        <v>417</v>
      </c>
      <c r="M8" s="947"/>
      <c r="N8" s="947"/>
      <c r="O8" s="947" t="s">
        <v>418</v>
      </c>
      <c r="P8" s="947"/>
      <c r="Q8" s="947"/>
      <c r="R8" s="947" t="s">
        <v>419</v>
      </c>
      <c r="S8" s="947"/>
      <c r="T8" s="947"/>
      <c r="U8" s="947" t="s">
        <v>420</v>
      </c>
      <c r="V8" s="947"/>
      <c r="W8" s="947"/>
      <c r="X8" s="947" t="s">
        <v>422</v>
      </c>
      <c r="Y8" s="947"/>
      <c r="Z8" s="947"/>
      <c r="AA8" s="947" t="s">
        <v>349</v>
      </c>
      <c r="AB8" s="947"/>
      <c r="AC8" s="947"/>
      <c r="AD8" s="145"/>
      <c r="AE8" s="163"/>
      <c r="AF8" s="163"/>
      <c r="AG8" s="163" t="s">
        <v>424</v>
      </c>
      <c r="AH8" s="163" t="s">
        <v>424</v>
      </c>
      <c r="AI8" s="162"/>
      <c r="AJ8" s="162"/>
      <c r="AK8" s="163" t="s">
        <v>439</v>
      </c>
      <c r="AL8" s="163" t="s">
        <v>439</v>
      </c>
      <c r="AM8" s="163" t="s">
        <v>439</v>
      </c>
      <c r="AN8" s="163" t="s">
        <v>439</v>
      </c>
      <c r="AO8" s="164"/>
      <c r="AP8" s="165"/>
      <c r="AQ8" s="164"/>
      <c r="AR8" s="164"/>
      <c r="AS8" s="164"/>
      <c r="AT8" s="164"/>
      <c r="AU8" s="164"/>
      <c r="AV8" s="164"/>
      <c r="AW8" s="164"/>
      <c r="AX8" s="164"/>
      <c r="AY8" s="164"/>
      <c r="AZ8" s="164"/>
      <c r="BA8" s="164"/>
      <c r="BB8" s="164"/>
      <c r="BC8" s="164"/>
    </row>
    <row r="9" spans="1:55" s="89" customFormat="1" ht="49.5" customHeight="1">
      <c r="A9" s="53"/>
      <c r="B9" s="815" t="s">
        <v>407</v>
      </c>
      <c r="C9" s="820" t="s">
        <v>365</v>
      </c>
      <c r="D9" s="80" t="s">
        <v>409</v>
      </c>
      <c r="E9" s="80" t="s">
        <v>410</v>
      </c>
      <c r="F9" s="792" t="s">
        <v>367</v>
      </c>
      <c r="G9" s="80" t="s">
        <v>411</v>
      </c>
      <c r="H9" s="80" t="s">
        <v>409</v>
      </c>
      <c r="I9" s="80" t="s">
        <v>410</v>
      </c>
      <c r="J9" s="792" t="s">
        <v>367</v>
      </c>
      <c r="K9" s="80" t="s">
        <v>411</v>
      </c>
      <c r="L9" s="80" t="s">
        <v>409</v>
      </c>
      <c r="M9" s="80" t="s">
        <v>410</v>
      </c>
      <c r="N9" s="80" t="s">
        <v>411</v>
      </c>
      <c r="O9" s="80" t="s">
        <v>779</v>
      </c>
      <c r="P9" s="80" t="s">
        <v>410</v>
      </c>
      <c r="Q9" s="80" t="s">
        <v>411</v>
      </c>
      <c r="R9" s="80" t="s">
        <v>409</v>
      </c>
      <c r="S9" s="80" t="s">
        <v>410</v>
      </c>
      <c r="T9" s="80" t="s">
        <v>411</v>
      </c>
      <c r="U9" s="80" t="s">
        <v>409</v>
      </c>
      <c r="V9" s="80" t="s">
        <v>410</v>
      </c>
      <c r="W9" s="80" t="s">
        <v>411</v>
      </c>
      <c r="X9" s="80" t="s">
        <v>409</v>
      </c>
      <c r="Y9" s="80" t="s">
        <v>410</v>
      </c>
      <c r="Z9" s="80" t="s">
        <v>411</v>
      </c>
      <c r="AA9" s="80" t="s">
        <v>423</v>
      </c>
      <c r="AB9" s="80" t="s">
        <v>410</v>
      </c>
      <c r="AC9" s="80" t="s">
        <v>411</v>
      </c>
      <c r="AD9" s="53"/>
      <c r="AE9" s="815" t="s">
        <v>407</v>
      </c>
      <c r="AF9" s="820" t="s">
        <v>365</v>
      </c>
      <c r="AG9" s="85" t="s">
        <v>425</v>
      </c>
      <c r="AH9" s="85" t="s">
        <v>426</v>
      </c>
      <c r="AI9" s="85" t="s">
        <v>427</v>
      </c>
      <c r="AJ9" s="85" t="s">
        <v>428</v>
      </c>
      <c r="AK9" s="85" t="s">
        <v>434</v>
      </c>
      <c r="AL9" s="85" t="s">
        <v>437</v>
      </c>
      <c r="AM9" s="85" t="s">
        <v>435</v>
      </c>
      <c r="AN9" s="85" t="s">
        <v>438</v>
      </c>
      <c r="AO9" s="79"/>
      <c r="AP9" s="722" t="s">
        <v>379</v>
      </c>
      <c r="AQ9" s="723"/>
      <c r="AR9" s="79"/>
      <c r="AS9" s="79"/>
      <c r="AT9" s="79"/>
      <c r="AU9" s="79"/>
      <c r="AV9" s="79"/>
      <c r="AW9" s="79"/>
      <c r="AX9" s="79"/>
      <c r="AY9" s="79"/>
      <c r="AZ9" s="79"/>
      <c r="BA9" s="79"/>
      <c r="BB9" s="79"/>
      <c r="BC9" s="79"/>
    </row>
    <row r="10" spans="1:55" s="178" customFormat="1" ht="22.5">
      <c r="A10" s="795"/>
      <c r="B10" s="713" t="s">
        <v>270</v>
      </c>
      <c r="C10" s="726" t="s">
        <v>183</v>
      </c>
      <c r="D10" s="169">
        <v>3320.61</v>
      </c>
      <c r="E10" s="170">
        <v>12647.34</v>
      </c>
      <c r="F10" s="797">
        <f t="shared" ref="F10:F41" si="0">IFERROR(E10/D10,"")</f>
        <v>3.8087399604289573</v>
      </c>
      <c r="G10" s="171">
        <f>D10*'Wskazniki emisji paliw'!L$19</f>
        <v>7.9648257719520004</v>
      </c>
      <c r="H10" s="169"/>
      <c r="I10" s="170"/>
      <c r="J10" s="797" t="str">
        <f t="shared" ref="J10:J41" si="1">IFERROR(I10/H10,"")</f>
        <v/>
      </c>
      <c r="K10" s="171">
        <f>H10*'Wskazniki emisji paliw'!L$18</f>
        <v>0</v>
      </c>
      <c r="L10" s="169"/>
      <c r="M10" s="170"/>
      <c r="N10" s="171">
        <f>L10*'Wskazniki emisji paliw'!$L$28</f>
        <v>0</v>
      </c>
      <c r="O10" s="169"/>
      <c r="P10" s="170"/>
      <c r="Q10" s="171">
        <f>O10*'Wskazniki emisji paliw'!M$29</f>
        <v>0</v>
      </c>
      <c r="R10" s="169"/>
      <c r="S10" s="170"/>
      <c r="T10" s="171">
        <f>R10*'Wskazniki emisji paliw'!L$21</f>
        <v>0</v>
      </c>
      <c r="U10" s="169"/>
      <c r="V10" s="170"/>
      <c r="W10" s="171">
        <f>U10*'Wskazniki emisji paliw'!L$19*(1-W$6)</f>
        <v>0</v>
      </c>
      <c r="X10" s="169"/>
      <c r="Y10" s="170"/>
      <c r="Z10" s="171">
        <f>X10*'Wskazniki emisji paliw'!L$18*(1-Z$6)</f>
        <v>0</v>
      </c>
      <c r="AA10" s="169"/>
      <c r="AB10" s="170"/>
      <c r="AC10" s="171">
        <f>AA10*(HLOOKUP(Ogolne!$D$6,'Wskazniki emisji elektrycznosc'!$B$8:$G$29,Ogolne!$E$7,TRUE))/1000</f>
        <v>0</v>
      </c>
      <c r="AD10" s="145"/>
      <c r="AE10" s="799" t="str">
        <f>B10</f>
        <v>Administracja Domów Miejskich „ADM” Sp. z o.o.</v>
      </c>
      <c r="AF10" s="799" t="str">
        <f>C10</f>
        <v>ADM</v>
      </c>
      <c r="AG10" s="172">
        <v>1</v>
      </c>
      <c r="AH10" s="736"/>
      <c r="AI10" s="170">
        <f>E10+I10+M10+P10+S10+V10+Y10+AB10</f>
        <v>12647.34</v>
      </c>
      <c r="AJ10" s="171">
        <f>G10+K10+N10+Q10+T10+W10+Z10+AC10</f>
        <v>7.9648257719520004</v>
      </c>
      <c r="AK10" s="173" t="str">
        <f t="shared" ref="AK10:AK41" si="2">IFERROR(AI10/AH10,"")</f>
        <v/>
      </c>
      <c r="AL10" s="174">
        <f t="shared" ref="AL10:AL41" si="3">IFERROR(AI10/AG10,"")</f>
        <v>12647.34</v>
      </c>
      <c r="AM10" s="175" t="str">
        <f t="shared" ref="AM10:AM41" si="4">IFERROR(AJ10/AH10,"")</f>
        <v/>
      </c>
      <c r="AN10" s="176">
        <f t="shared" ref="AN10:AN41" si="5">IFERROR(AJ10/AG10,"")</f>
        <v>7.9648257719520004</v>
      </c>
      <c r="AO10" s="177"/>
      <c r="AP10" s="718" t="s">
        <v>228</v>
      </c>
      <c r="AQ10" s="720"/>
      <c r="AR10" s="177"/>
      <c r="AS10" s="177"/>
      <c r="AT10" s="177"/>
      <c r="AU10" s="177"/>
      <c r="AV10" s="177"/>
      <c r="AW10" s="177"/>
      <c r="AX10" s="177"/>
      <c r="AY10" s="177"/>
      <c r="AZ10" s="177"/>
      <c r="BA10" s="177"/>
      <c r="BB10" s="177"/>
      <c r="BC10" s="177"/>
    </row>
    <row r="11" spans="1:55" s="178" customFormat="1">
      <c r="A11" s="795"/>
      <c r="B11" s="732" t="s">
        <v>237</v>
      </c>
      <c r="C11" s="733" t="s">
        <v>213</v>
      </c>
      <c r="D11" s="169"/>
      <c r="E11" s="170"/>
      <c r="F11" s="797" t="str">
        <f t="shared" si="0"/>
        <v/>
      </c>
      <c r="G11" s="171">
        <f>D11*'Wskazniki emisji paliw'!L$19</f>
        <v>0</v>
      </c>
      <c r="H11" s="169"/>
      <c r="I11" s="170"/>
      <c r="J11" s="797" t="str">
        <f t="shared" si="1"/>
        <v/>
      </c>
      <c r="K11" s="171">
        <f>H11*'Wskazniki emisji paliw'!L$18</f>
        <v>0</v>
      </c>
      <c r="L11" s="169"/>
      <c r="M11" s="170"/>
      <c r="N11" s="171">
        <f>L11*'Wskazniki emisji paliw'!$L$28</f>
        <v>0</v>
      </c>
      <c r="O11" s="169"/>
      <c r="P11" s="170"/>
      <c r="Q11" s="171">
        <f>O11*'Wskazniki emisji paliw'!M$29</f>
        <v>0</v>
      </c>
      <c r="R11" s="169"/>
      <c r="S11" s="170"/>
      <c r="T11" s="171">
        <f>R11*'Wskazniki emisji paliw'!L$21</f>
        <v>0</v>
      </c>
      <c r="U11" s="169"/>
      <c r="V11" s="170"/>
      <c r="W11" s="171">
        <f>U11*'Wskazniki emisji paliw'!L$19*(1-W$6)</f>
        <v>0</v>
      </c>
      <c r="X11" s="169"/>
      <c r="Y11" s="170"/>
      <c r="Z11" s="171">
        <f>X11*'Wskazniki emisji paliw'!L$18*(1-Z$6)</f>
        <v>0</v>
      </c>
      <c r="AA11" s="169"/>
      <c r="AB11" s="170"/>
      <c r="AC11" s="171">
        <f>AA11*(HLOOKUP(Ogolne!$D$6,'Wskazniki emisji elektrycznosc'!$B$8:$G$29,Ogolne!$E$7,TRUE))/1000</f>
        <v>0</v>
      </c>
      <c r="AD11" s="145"/>
      <c r="AE11" s="800" t="str">
        <f t="shared" ref="AE11:AE61" si="6">B11</f>
        <v>Bydgoski Fundusz Poręczeń Kredytowych Sp. z o.o.</v>
      </c>
      <c r="AF11" s="800" t="str">
        <f t="shared" ref="AF11:AF61" si="7">C11</f>
        <v>BFPK</v>
      </c>
      <c r="AG11" s="172"/>
      <c r="AH11" s="172"/>
      <c r="AI11" s="170">
        <f t="shared" ref="AI11:AI21" si="8">E11+I11+M11+P11+S11+V11+Y11+AB11</f>
        <v>0</v>
      </c>
      <c r="AJ11" s="171">
        <f t="shared" ref="AJ11:AJ68" si="9">G11+K11+N11+Q11+T11+W11+Z11+AC11</f>
        <v>0</v>
      </c>
      <c r="AK11" s="173" t="str">
        <f t="shared" si="2"/>
        <v/>
      </c>
      <c r="AL11" s="174" t="str">
        <f t="shared" si="3"/>
        <v/>
      </c>
      <c r="AM11" s="175" t="str">
        <f t="shared" si="4"/>
        <v/>
      </c>
      <c r="AN11" s="176" t="str">
        <f t="shared" si="5"/>
        <v/>
      </c>
      <c r="AO11" s="177"/>
      <c r="AP11" s="718"/>
      <c r="AQ11" s="720"/>
      <c r="AR11" s="177"/>
      <c r="AS11" s="177"/>
      <c r="AT11" s="177"/>
      <c r="AU11" s="177"/>
      <c r="AV11" s="177"/>
      <c r="AW11" s="177"/>
      <c r="AX11" s="177"/>
      <c r="AY11" s="177"/>
      <c r="AZ11" s="177"/>
      <c r="BA11" s="177"/>
      <c r="BB11" s="177"/>
      <c r="BC11" s="177"/>
    </row>
    <row r="12" spans="1:55" s="178" customFormat="1">
      <c r="A12" s="795"/>
      <c r="B12" s="713" t="s">
        <v>239</v>
      </c>
      <c r="C12" s="726" t="s">
        <v>216</v>
      </c>
      <c r="D12" s="169"/>
      <c r="E12" s="170"/>
      <c r="F12" s="797" t="str">
        <f t="shared" si="0"/>
        <v/>
      </c>
      <c r="G12" s="171">
        <f>D12*'Wskazniki emisji paliw'!L$19</f>
        <v>0</v>
      </c>
      <c r="H12" s="169"/>
      <c r="I12" s="170"/>
      <c r="J12" s="797" t="str">
        <f t="shared" si="1"/>
        <v/>
      </c>
      <c r="K12" s="171">
        <f>H12*'Wskazniki emisji paliw'!L$18</f>
        <v>0</v>
      </c>
      <c r="L12" s="169"/>
      <c r="M12" s="170"/>
      <c r="N12" s="171">
        <f>L12*'Wskazniki emisji paliw'!$L$28</f>
        <v>0</v>
      </c>
      <c r="O12" s="169"/>
      <c r="P12" s="170"/>
      <c r="Q12" s="171">
        <f>O12*'Wskazniki emisji paliw'!M$29</f>
        <v>0</v>
      </c>
      <c r="R12" s="169"/>
      <c r="S12" s="170"/>
      <c r="T12" s="171">
        <f>R12*'Wskazniki emisji paliw'!L$21</f>
        <v>0</v>
      </c>
      <c r="U12" s="169"/>
      <c r="V12" s="170"/>
      <c r="W12" s="171">
        <f>U12*'Wskazniki emisji paliw'!L$19*(1-W$6)</f>
        <v>0</v>
      </c>
      <c r="X12" s="169"/>
      <c r="Y12" s="170"/>
      <c r="Z12" s="171">
        <f>X12*'Wskazniki emisji paliw'!L$18*(1-Z$6)</f>
        <v>0</v>
      </c>
      <c r="AA12" s="169"/>
      <c r="AB12" s="170"/>
      <c r="AC12" s="171">
        <f>AA12*(HLOOKUP(Ogolne!$D$6,'Wskazniki emisji elektrycznosc'!$B$8:$G$29,Ogolne!$E$7,TRUE))/1000</f>
        <v>0</v>
      </c>
      <c r="AD12" s="145"/>
      <c r="AE12" s="799" t="str">
        <f t="shared" si="6"/>
        <v>Bydgoski Ośrodek Rehabilitacji ,Terapii Uzależnień i Profilaktyki "BORPA"</v>
      </c>
      <c r="AF12" s="799" t="str">
        <f t="shared" si="7"/>
        <v>BORPA</v>
      </c>
      <c r="AG12" s="172">
        <v>2</v>
      </c>
      <c r="AH12" s="172">
        <v>42930</v>
      </c>
      <c r="AI12" s="170">
        <f t="shared" si="8"/>
        <v>0</v>
      </c>
      <c r="AJ12" s="171">
        <f t="shared" si="9"/>
        <v>0</v>
      </c>
      <c r="AK12" s="173">
        <f t="shared" si="2"/>
        <v>0</v>
      </c>
      <c r="AL12" s="174">
        <f t="shared" si="3"/>
        <v>0</v>
      </c>
      <c r="AM12" s="175">
        <f t="shared" si="4"/>
        <v>0</v>
      </c>
      <c r="AN12" s="176">
        <f t="shared" si="5"/>
        <v>0</v>
      </c>
      <c r="AO12" s="177"/>
      <c r="AP12" s="718"/>
      <c r="AQ12" s="720"/>
      <c r="AR12" s="177"/>
      <c r="AS12" s="177"/>
      <c r="AT12" s="177"/>
      <c r="AU12" s="177"/>
      <c r="AV12" s="177"/>
      <c r="AW12" s="177"/>
      <c r="AX12" s="177"/>
      <c r="AY12" s="177"/>
      <c r="AZ12" s="177"/>
      <c r="BA12" s="177"/>
      <c r="BB12" s="177"/>
      <c r="BC12" s="177"/>
    </row>
    <row r="13" spans="1:55" s="178" customFormat="1">
      <c r="A13" s="795"/>
      <c r="B13" s="732" t="s">
        <v>240</v>
      </c>
      <c r="C13" s="733" t="s">
        <v>185</v>
      </c>
      <c r="D13" s="169"/>
      <c r="E13" s="170"/>
      <c r="F13" s="797" t="str">
        <f t="shared" si="0"/>
        <v/>
      </c>
      <c r="G13" s="171">
        <f>D13*'Wskazniki emisji paliw'!L$19</f>
        <v>0</v>
      </c>
      <c r="H13" s="169"/>
      <c r="I13" s="170"/>
      <c r="J13" s="797" t="str">
        <f t="shared" si="1"/>
        <v/>
      </c>
      <c r="K13" s="171">
        <f>H13*'Wskazniki emisji paliw'!L$18</f>
        <v>0</v>
      </c>
      <c r="L13" s="169"/>
      <c r="M13" s="170"/>
      <c r="N13" s="171">
        <f>L13*'Wskazniki emisji paliw'!$L$28</f>
        <v>0</v>
      </c>
      <c r="O13" s="169"/>
      <c r="P13" s="170"/>
      <c r="Q13" s="171">
        <f>O13*'Wskazniki emisji paliw'!M$29</f>
        <v>0</v>
      </c>
      <c r="R13" s="169"/>
      <c r="S13" s="170"/>
      <c r="T13" s="171">
        <f>R13*'Wskazniki emisji paliw'!L$21</f>
        <v>0</v>
      </c>
      <c r="U13" s="169"/>
      <c r="V13" s="170"/>
      <c r="W13" s="171">
        <f>U13*'Wskazniki emisji paliw'!L$19*(1-W$6)</f>
        <v>0</v>
      </c>
      <c r="X13" s="169"/>
      <c r="Y13" s="170"/>
      <c r="Z13" s="171">
        <f>X13*'Wskazniki emisji paliw'!L$18*(1-Z$6)</f>
        <v>0</v>
      </c>
      <c r="AA13" s="169"/>
      <c r="AB13" s="170"/>
      <c r="AC13" s="171">
        <f>AA13*(HLOOKUP(Ogolne!$D$6,'Wskazniki emisji elektrycznosc'!$B$8:$G$29,Ogolne!$E$7,TRUE))/1000</f>
        <v>0</v>
      </c>
      <c r="AD13" s="145"/>
      <c r="AE13" s="800" t="str">
        <f t="shared" si="6"/>
        <v>Bydgoski Park Przemysłowy Sp. z o.o.</v>
      </c>
      <c r="AF13" s="800" t="str">
        <f t="shared" si="7"/>
        <v>BPP</v>
      </c>
      <c r="AG13" s="172"/>
      <c r="AH13" s="172"/>
      <c r="AI13" s="170">
        <f t="shared" si="8"/>
        <v>0</v>
      </c>
      <c r="AJ13" s="171">
        <f t="shared" si="9"/>
        <v>0</v>
      </c>
      <c r="AK13" s="173" t="str">
        <f t="shared" si="2"/>
        <v/>
      </c>
      <c r="AL13" s="174" t="str">
        <f t="shared" si="3"/>
        <v/>
      </c>
      <c r="AM13" s="175" t="str">
        <f t="shared" si="4"/>
        <v/>
      </c>
      <c r="AN13" s="176" t="str">
        <f t="shared" si="5"/>
        <v/>
      </c>
      <c r="AO13" s="177"/>
      <c r="AP13" s="718"/>
      <c r="AQ13" s="720"/>
      <c r="AR13" s="177"/>
      <c r="AS13" s="177"/>
      <c r="AT13" s="177"/>
      <c r="AU13" s="177"/>
      <c r="AV13" s="177"/>
      <c r="AW13" s="177"/>
      <c r="AX13" s="177"/>
      <c r="AY13" s="177"/>
      <c r="AZ13" s="177"/>
      <c r="BA13" s="177"/>
      <c r="BB13" s="177"/>
      <c r="BC13" s="177"/>
    </row>
    <row r="14" spans="1:55" s="178" customFormat="1">
      <c r="A14" s="795"/>
      <c r="B14" s="713" t="s">
        <v>241</v>
      </c>
      <c r="C14" s="726" t="s">
        <v>186</v>
      </c>
      <c r="D14" s="169"/>
      <c r="E14" s="170"/>
      <c r="F14" s="797" t="str">
        <f t="shared" si="0"/>
        <v/>
      </c>
      <c r="G14" s="171">
        <f>D14*'Wskazniki emisji paliw'!L$19</f>
        <v>0</v>
      </c>
      <c r="H14" s="169"/>
      <c r="I14" s="170"/>
      <c r="J14" s="797" t="str">
        <f t="shared" si="1"/>
        <v/>
      </c>
      <c r="K14" s="171">
        <f>H14*'Wskazniki emisji paliw'!L$18</f>
        <v>0</v>
      </c>
      <c r="L14" s="169"/>
      <c r="M14" s="170"/>
      <c r="N14" s="171">
        <f>L14*'Wskazniki emisji paliw'!$L$28</f>
        <v>0</v>
      </c>
      <c r="O14" s="169"/>
      <c r="P14" s="170"/>
      <c r="Q14" s="171">
        <f>O14*'Wskazniki emisji paliw'!M$29</f>
        <v>0</v>
      </c>
      <c r="R14" s="169"/>
      <c r="S14" s="170"/>
      <c r="T14" s="171">
        <f>R14*'Wskazniki emisji paliw'!L$21</f>
        <v>0</v>
      </c>
      <c r="U14" s="169"/>
      <c r="V14" s="170"/>
      <c r="W14" s="171">
        <f>U14*'Wskazniki emisji paliw'!L$19*(1-W$6)</f>
        <v>0</v>
      </c>
      <c r="X14" s="169"/>
      <c r="Y14" s="170"/>
      <c r="Z14" s="171">
        <f>X14*'Wskazniki emisji paliw'!L$18*(1-Z$6)</f>
        <v>0</v>
      </c>
      <c r="AA14" s="169"/>
      <c r="AB14" s="170"/>
      <c r="AC14" s="171">
        <f>AA14*(HLOOKUP(Ogolne!$D$6,'Wskazniki emisji elektrycznosc'!$B$8:$G$29,Ogolne!$E$7,TRUE))/1000</f>
        <v>0</v>
      </c>
      <c r="AD14" s="145"/>
      <c r="AE14" s="799" t="str">
        <f t="shared" si="6"/>
        <v>Bydgoskie Towarzystwo Budownictwa Społecznego Sp. z o.o.</v>
      </c>
      <c r="AF14" s="799" t="str">
        <f t="shared" si="7"/>
        <v>BTBS</v>
      </c>
      <c r="AG14" s="172"/>
      <c r="AH14" s="172"/>
      <c r="AI14" s="170">
        <f t="shared" si="8"/>
        <v>0</v>
      </c>
      <c r="AJ14" s="171">
        <f t="shared" si="9"/>
        <v>0</v>
      </c>
      <c r="AK14" s="173" t="str">
        <f t="shared" si="2"/>
        <v/>
      </c>
      <c r="AL14" s="174" t="str">
        <f t="shared" si="3"/>
        <v/>
      </c>
      <c r="AM14" s="175" t="str">
        <f t="shared" si="4"/>
        <v/>
      </c>
      <c r="AN14" s="176" t="str">
        <f t="shared" si="5"/>
        <v/>
      </c>
      <c r="AO14" s="177"/>
      <c r="AP14" s="718"/>
      <c r="AQ14" s="720"/>
      <c r="AR14" s="177"/>
      <c r="AS14" s="177"/>
      <c r="AT14" s="177"/>
      <c r="AU14" s="177"/>
      <c r="AV14" s="177"/>
      <c r="AW14" s="177"/>
      <c r="AX14" s="177"/>
      <c r="AY14" s="177"/>
      <c r="AZ14" s="177"/>
      <c r="BA14" s="177"/>
      <c r="BB14" s="177"/>
      <c r="BC14" s="177"/>
    </row>
    <row r="15" spans="1:55" s="178" customFormat="1">
      <c r="A15" s="795"/>
      <c r="B15" s="713" t="s">
        <v>187</v>
      </c>
      <c r="C15" s="726" t="s">
        <v>188</v>
      </c>
      <c r="D15" s="169"/>
      <c r="E15" s="170"/>
      <c r="F15" s="797" t="str">
        <f t="shared" si="0"/>
        <v/>
      </c>
      <c r="G15" s="171">
        <f>D15*'Wskazniki emisji paliw'!L$19</f>
        <v>0</v>
      </c>
      <c r="H15" s="169">
        <v>4953.24</v>
      </c>
      <c r="I15" s="170">
        <v>19265.46</v>
      </c>
      <c r="J15" s="797">
        <f t="shared" si="1"/>
        <v>3.8894662887322236</v>
      </c>
      <c r="K15" s="171">
        <f>H15*'Wskazniki emisji paliw'!L$18</f>
        <v>13.260936194655907</v>
      </c>
      <c r="L15" s="169"/>
      <c r="M15" s="170"/>
      <c r="N15" s="171">
        <f>L15*'Wskazniki emisji paliw'!$L$28</f>
        <v>0</v>
      </c>
      <c r="O15" s="169"/>
      <c r="P15" s="170"/>
      <c r="Q15" s="171">
        <f>O15*'Wskazniki emisji paliw'!M$29</f>
        <v>0</v>
      </c>
      <c r="R15" s="169"/>
      <c r="S15" s="170"/>
      <c r="T15" s="171">
        <f>R15*'Wskazniki emisji paliw'!L$21</f>
        <v>0</v>
      </c>
      <c r="U15" s="169"/>
      <c r="V15" s="170"/>
      <c r="W15" s="171">
        <f>U15*'Wskazniki emisji paliw'!L$19*(1-W$6)</f>
        <v>0</v>
      </c>
      <c r="X15" s="169"/>
      <c r="Y15" s="170"/>
      <c r="Z15" s="171">
        <f>X15*'Wskazniki emisji paliw'!L$18*(1-Z$6)</f>
        <v>0</v>
      </c>
      <c r="AA15" s="169"/>
      <c r="AB15" s="170"/>
      <c r="AC15" s="171">
        <f>AA15*(HLOOKUP(Ogolne!$D$6,'Wskazniki emisji elektrycznosc'!$B$8:$G$29,Ogolne!$E$7,TRUE))/1000</f>
        <v>0</v>
      </c>
      <c r="AD15" s="145"/>
      <c r="AE15" s="799" t="str">
        <f t="shared" si="6"/>
        <v>Galeria Miejska BWA</v>
      </c>
      <c r="AF15" s="799" t="str">
        <f t="shared" si="7"/>
        <v>GMBWA</v>
      </c>
      <c r="AG15" s="172">
        <v>2</v>
      </c>
      <c r="AH15" s="172"/>
      <c r="AI15" s="170">
        <f t="shared" si="8"/>
        <v>19265.46</v>
      </c>
      <c r="AJ15" s="171">
        <f t="shared" si="9"/>
        <v>13.260936194655907</v>
      </c>
      <c r="AK15" s="173" t="str">
        <f t="shared" si="2"/>
        <v/>
      </c>
      <c r="AL15" s="174">
        <f t="shared" si="3"/>
        <v>9632.73</v>
      </c>
      <c r="AM15" s="175" t="str">
        <f t="shared" si="4"/>
        <v/>
      </c>
      <c r="AN15" s="176">
        <f t="shared" si="5"/>
        <v>6.6304680973279533</v>
      </c>
      <c r="AO15" s="177"/>
      <c r="AP15" s="718"/>
      <c r="AQ15" s="720"/>
      <c r="AR15" s="177"/>
      <c r="AS15" s="177"/>
      <c r="AT15" s="177"/>
      <c r="AU15" s="177"/>
      <c r="AV15" s="177"/>
      <c r="AW15" s="177"/>
      <c r="AX15" s="177"/>
      <c r="AY15" s="177"/>
      <c r="AZ15" s="177"/>
      <c r="BA15" s="177"/>
      <c r="BB15" s="177"/>
      <c r="BC15" s="177"/>
    </row>
    <row r="16" spans="1:55" s="178" customFormat="1">
      <c r="A16" s="795"/>
      <c r="B16" s="713" t="s">
        <v>482</v>
      </c>
      <c r="C16" s="726" t="s">
        <v>214</v>
      </c>
      <c r="D16" s="169"/>
      <c r="E16" s="170"/>
      <c r="F16" s="797" t="str">
        <f t="shared" si="0"/>
        <v/>
      </c>
      <c r="G16" s="171">
        <f>D16*'Wskazniki emisji paliw'!L$19</f>
        <v>0</v>
      </c>
      <c r="H16" s="169"/>
      <c r="I16" s="170"/>
      <c r="J16" s="797" t="str">
        <f t="shared" si="1"/>
        <v/>
      </c>
      <c r="K16" s="171">
        <f>H16*'Wskazniki emisji paliw'!L$18</f>
        <v>0</v>
      </c>
      <c r="L16" s="169"/>
      <c r="M16" s="170"/>
      <c r="N16" s="171">
        <f>L16*'Wskazniki emisji paliw'!$L$28</f>
        <v>0</v>
      </c>
      <c r="O16" s="169"/>
      <c r="P16" s="170"/>
      <c r="Q16" s="171">
        <f>O16*'Wskazniki emisji paliw'!M$29</f>
        <v>0</v>
      </c>
      <c r="R16" s="169"/>
      <c r="S16" s="170"/>
      <c r="T16" s="171">
        <f>R16*'Wskazniki emisji paliw'!L$21</f>
        <v>0</v>
      </c>
      <c r="U16" s="169"/>
      <c r="V16" s="170"/>
      <c r="W16" s="171">
        <f>U16*'Wskazniki emisji paliw'!L$19*(1-W$6)</f>
        <v>0</v>
      </c>
      <c r="X16" s="169"/>
      <c r="Y16" s="170"/>
      <c r="Z16" s="171">
        <f>X16*'Wskazniki emisji paliw'!L$18*(1-Z$6)</f>
        <v>0</v>
      </c>
      <c r="AA16" s="169"/>
      <c r="AB16" s="170"/>
      <c r="AC16" s="171">
        <f>AA16*(HLOOKUP(Ogolne!$D$6,'Wskazniki emisji elektrycznosc'!$B$8:$G$29,Ogolne!$E$7,TRUE))/1000</f>
        <v>0</v>
      </c>
      <c r="AD16" s="145"/>
      <c r="AE16" s="799" t="str">
        <f t="shared" si="6"/>
        <v>Hala Sportowo-WKodowiskowa Łuczniczka</v>
      </c>
      <c r="AF16" s="799" t="str">
        <f t="shared" si="7"/>
        <v>HSW</v>
      </c>
      <c r="AG16" s="172">
        <v>2</v>
      </c>
      <c r="AH16" s="172">
        <v>45662</v>
      </c>
      <c r="AI16" s="170">
        <f t="shared" si="8"/>
        <v>0</v>
      </c>
      <c r="AJ16" s="171">
        <f t="shared" si="9"/>
        <v>0</v>
      </c>
      <c r="AK16" s="173">
        <f t="shared" si="2"/>
        <v>0</v>
      </c>
      <c r="AL16" s="174">
        <f t="shared" si="3"/>
        <v>0</v>
      </c>
      <c r="AM16" s="175">
        <f t="shared" si="4"/>
        <v>0</v>
      </c>
      <c r="AN16" s="176">
        <f t="shared" si="5"/>
        <v>0</v>
      </c>
      <c r="AO16" s="177"/>
      <c r="AP16" s="718"/>
      <c r="AQ16" s="720"/>
      <c r="AR16" s="177"/>
      <c r="AS16" s="177"/>
      <c r="AT16" s="177"/>
      <c r="AU16" s="177"/>
      <c r="AV16" s="177"/>
      <c r="AW16" s="177"/>
      <c r="AX16" s="177"/>
      <c r="AY16" s="177"/>
      <c r="AZ16" s="177"/>
      <c r="BA16" s="177"/>
      <c r="BB16" s="177"/>
      <c r="BC16" s="177"/>
    </row>
    <row r="17" spans="1:55" s="178" customFormat="1">
      <c r="A17" s="795"/>
      <c r="B17" s="713" t="s">
        <v>217</v>
      </c>
      <c r="C17" s="726" t="s">
        <v>218</v>
      </c>
      <c r="D17" s="169">
        <v>136.82</v>
      </c>
      <c r="E17" s="170">
        <v>359.98</v>
      </c>
      <c r="F17" s="797">
        <f t="shared" si="0"/>
        <v>2.6310480923841548</v>
      </c>
      <c r="G17" s="171">
        <f>D17*'Wskazniki emisji paliw'!L$19</f>
        <v>0.32817688982400001</v>
      </c>
      <c r="H17" s="169"/>
      <c r="I17" s="170"/>
      <c r="J17" s="797" t="str">
        <f t="shared" si="1"/>
        <v/>
      </c>
      <c r="K17" s="171">
        <f>H17*'Wskazniki emisji paliw'!L$18</f>
        <v>0</v>
      </c>
      <c r="L17" s="169"/>
      <c r="M17" s="170"/>
      <c r="N17" s="171">
        <f>L17*'Wskazniki emisji paliw'!$L$28</f>
        <v>0</v>
      </c>
      <c r="O17" s="169"/>
      <c r="P17" s="170"/>
      <c r="Q17" s="171">
        <f>O17*'Wskazniki emisji paliw'!M$29</f>
        <v>0</v>
      </c>
      <c r="R17" s="169"/>
      <c r="S17" s="170"/>
      <c r="T17" s="171">
        <f>R17*'Wskazniki emisji paliw'!L$21</f>
        <v>0</v>
      </c>
      <c r="U17" s="169"/>
      <c r="V17" s="170"/>
      <c r="W17" s="171">
        <f>U17*'Wskazniki emisji paliw'!L$19*(1-W$6)</f>
        <v>0</v>
      </c>
      <c r="X17" s="169"/>
      <c r="Y17" s="170"/>
      <c r="Z17" s="171">
        <f>X17*'Wskazniki emisji paliw'!L$18*(1-Z$6)</f>
        <v>0</v>
      </c>
      <c r="AA17" s="169"/>
      <c r="AB17" s="170"/>
      <c r="AC17" s="171">
        <f>AA17*(HLOOKUP(Ogolne!$D$6,'Wskazniki emisji elektrycznosc'!$B$8:$G$29,Ogolne!$E$7,TRUE))/1000</f>
        <v>0</v>
      </c>
      <c r="AD17" s="145"/>
      <c r="AE17" s="799" t="str">
        <f t="shared" si="6"/>
        <v xml:space="preserve">Izba Wytrzeźwień w Bydgoszczy </v>
      </c>
      <c r="AF17" s="799" t="str">
        <f t="shared" si="7"/>
        <v>IW</v>
      </c>
      <c r="AG17" s="172"/>
      <c r="AH17" s="172"/>
      <c r="AI17" s="170">
        <f t="shared" si="8"/>
        <v>359.98</v>
      </c>
      <c r="AJ17" s="171">
        <f t="shared" si="9"/>
        <v>0.32817688982400001</v>
      </c>
      <c r="AK17" s="173" t="str">
        <f t="shared" si="2"/>
        <v/>
      </c>
      <c r="AL17" s="174" t="str">
        <f t="shared" si="3"/>
        <v/>
      </c>
      <c r="AM17" s="175" t="str">
        <f t="shared" si="4"/>
        <v/>
      </c>
      <c r="AN17" s="176" t="str">
        <f t="shared" si="5"/>
        <v/>
      </c>
      <c r="AO17" s="177"/>
      <c r="AP17" s="718"/>
      <c r="AQ17" s="720"/>
      <c r="AR17" s="177"/>
      <c r="AS17" s="177"/>
      <c r="AT17" s="177"/>
      <c r="AU17" s="177"/>
      <c r="AV17" s="177"/>
      <c r="AW17" s="177"/>
      <c r="AX17" s="177"/>
      <c r="AY17" s="177"/>
      <c r="AZ17" s="177"/>
      <c r="BA17" s="177"/>
      <c r="BB17" s="177"/>
      <c r="BC17" s="177"/>
    </row>
    <row r="18" spans="1:55" s="178" customFormat="1">
      <c r="A18" s="795"/>
      <c r="B18" s="732" t="s">
        <v>242</v>
      </c>
      <c r="C18" s="733" t="s">
        <v>189</v>
      </c>
      <c r="D18" s="169">
        <v>14419.910000000002</v>
      </c>
      <c r="E18" s="170">
        <v>59842.626499999998</v>
      </c>
      <c r="F18" s="797">
        <f t="shared" si="0"/>
        <v>4.1499999999999995</v>
      </c>
      <c r="G18" s="171">
        <f>D18*'Wskazniki emisji paliw'!L$19</f>
        <v>34.587642269712006</v>
      </c>
      <c r="H18" s="169">
        <v>51616.880000000005</v>
      </c>
      <c r="I18" s="170">
        <v>197176.4816</v>
      </c>
      <c r="J18" s="797">
        <f t="shared" si="1"/>
        <v>3.82</v>
      </c>
      <c r="K18" s="171">
        <f>H18*'Wskazniki emisji paliw'!L$18</f>
        <v>138.18998317206731</v>
      </c>
      <c r="L18" s="169"/>
      <c r="M18" s="170"/>
      <c r="N18" s="171">
        <f>L18*'Wskazniki emisji paliw'!$L$28</f>
        <v>0</v>
      </c>
      <c r="O18" s="169"/>
      <c r="P18" s="170"/>
      <c r="Q18" s="171">
        <f>O18*'Wskazniki emisji paliw'!M$29</f>
        <v>0</v>
      </c>
      <c r="R18" s="169"/>
      <c r="S18" s="170"/>
      <c r="T18" s="171">
        <f>R18*'Wskazniki emisji paliw'!L$21</f>
        <v>0</v>
      </c>
      <c r="U18" s="169"/>
      <c r="V18" s="170"/>
      <c r="W18" s="171">
        <f>U18*'Wskazniki emisji paliw'!L$19*(1-W$6)</f>
        <v>0</v>
      </c>
      <c r="X18" s="169"/>
      <c r="Y18" s="170"/>
      <c r="Z18" s="171">
        <f>X18*'Wskazniki emisji paliw'!L$18*(1-Z$6)</f>
        <v>0</v>
      </c>
      <c r="AA18" s="169"/>
      <c r="AB18" s="170"/>
      <c r="AC18" s="171">
        <f>AA18*(HLOOKUP(Ogolne!$D$6,'Wskazniki emisji elektrycznosc'!$B$8:$G$29,Ogolne!$E$7,TRUE))/1000</f>
        <v>0</v>
      </c>
      <c r="AD18" s="145"/>
      <c r="AE18" s="800" t="str">
        <f t="shared" si="6"/>
        <v>Komunalne Przedsiębiorstwo Energetyki Cieplnej Sp. z o.o.</v>
      </c>
      <c r="AF18" s="800" t="str">
        <f t="shared" si="7"/>
        <v>KPEC</v>
      </c>
      <c r="AG18" s="172">
        <v>35</v>
      </c>
      <c r="AH18" s="172">
        <v>365778</v>
      </c>
      <c r="AI18" s="170">
        <f t="shared" si="8"/>
        <v>257019.10810000001</v>
      </c>
      <c r="AJ18" s="171">
        <f t="shared" si="9"/>
        <v>172.77762544177932</v>
      </c>
      <c r="AK18" s="173">
        <f t="shared" si="2"/>
        <v>0.70266420643122329</v>
      </c>
      <c r="AL18" s="174">
        <f t="shared" si="3"/>
        <v>7343.4030885714292</v>
      </c>
      <c r="AM18" s="175">
        <f t="shared" si="4"/>
        <v>4.7235652620381577E-4</v>
      </c>
      <c r="AN18" s="176">
        <f t="shared" si="5"/>
        <v>4.936503584050838</v>
      </c>
      <c r="AO18" s="177"/>
      <c r="AP18" s="718"/>
      <c r="AQ18" s="720"/>
      <c r="AR18" s="177"/>
      <c r="AS18" s="177"/>
      <c r="AT18" s="177"/>
      <c r="AU18" s="177"/>
      <c r="AV18" s="177"/>
      <c r="AW18" s="177"/>
      <c r="AX18" s="177"/>
      <c r="AY18" s="177"/>
      <c r="AZ18" s="177"/>
      <c r="BA18" s="177"/>
      <c r="BB18" s="177"/>
      <c r="BC18" s="177"/>
    </row>
    <row r="19" spans="1:55" s="178" customFormat="1">
      <c r="A19" s="795"/>
      <c r="B19" s="732" t="s">
        <v>271</v>
      </c>
      <c r="C19" s="733" t="s">
        <v>189</v>
      </c>
      <c r="D19" s="169"/>
      <c r="E19" s="170"/>
      <c r="F19" s="797" t="str">
        <f t="shared" si="0"/>
        <v/>
      </c>
      <c r="G19" s="171">
        <f>D19*'Wskazniki emisji paliw'!L$19</f>
        <v>0</v>
      </c>
      <c r="H19" s="169">
        <v>61179</v>
      </c>
      <c r="I19" s="170">
        <v>233703.77999999994</v>
      </c>
      <c r="J19" s="797">
        <f t="shared" si="1"/>
        <v>3.819999999999999</v>
      </c>
      <c r="K19" s="171">
        <f>H19*'Wskazniki emisji paliw'!L$18</f>
        <v>163.78992648304015</v>
      </c>
      <c r="L19" s="169"/>
      <c r="M19" s="170"/>
      <c r="N19" s="171">
        <f>L19*'Wskazniki emisji paliw'!$L$28</f>
        <v>0</v>
      </c>
      <c r="O19" s="169"/>
      <c r="P19" s="170"/>
      <c r="Q19" s="171">
        <f>O19*'Wskazniki emisji paliw'!M$29</f>
        <v>0</v>
      </c>
      <c r="R19" s="169"/>
      <c r="S19" s="170"/>
      <c r="T19" s="171">
        <f>R19*'Wskazniki emisji paliw'!L$21</f>
        <v>0</v>
      </c>
      <c r="U19" s="169"/>
      <c r="V19" s="170"/>
      <c r="W19" s="171">
        <f>U19*'Wskazniki emisji paliw'!L$19*(1-W$6)</f>
        <v>0</v>
      </c>
      <c r="X19" s="169"/>
      <c r="Y19" s="170"/>
      <c r="Z19" s="171">
        <f>X19*'Wskazniki emisji paliw'!L$18*(1-Z$6)</f>
        <v>0</v>
      </c>
      <c r="AA19" s="169">
        <v>68960</v>
      </c>
      <c r="AB19" s="170">
        <v>71028.799999999988</v>
      </c>
      <c r="AC19" s="171">
        <f>AA19*(HLOOKUP(Ogolne!$D$6,'Wskazniki emisji elektrycznosc'!$B$8:$G$29,Ogolne!$E$7,TRUE))/1000</f>
        <v>67.718720000000005</v>
      </c>
      <c r="AD19" s="145"/>
      <c r="AE19" s="800" t="str">
        <f t="shared" si="6"/>
        <v>Komunalne Przedsiębiorstwo Energetyki Cieplnej Sp. z o.o. - inne</v>
      </c>
      <c r="AF19" s="800" t="str">
        <f t="shared" si="7"/>
        <v>KPEC</v>
      </c>
      <c r="AG19" s="172">
        <v>15</v>
      </c>
      <c r="AH19" s="172"/>
      <c r="AI19" s="170">
        <f t="shared" si="8"/>
        <v>304732.57999999996</v>
      </c>
      <c r="AJ19" s="171">
        <f t="shared" si="9"/>
        <v>231.50864648304014</v>
      </c>
      <c r="AK19" s="173" t="str">
        <f t="shared" si="2"/>
        <v/>
      </c>
      <c r="AL19" s="174">
        <f t="shared" si="3"/>
        <v>20315.505333333331</v>
      </c>
      <c r="AM19" s="175" t="str">
        <f t="shared" si="4"/>
        <v/>
      </c>
      <c r="AN19" s="176">
        <f t="shared" si="5"/>
        <v>15.43390976553601</v>
      </c>
      <c r="AO19" s="177"/>
      <c r="AP19" s="718"/>
      <c r="AQ19" s="720"/>
      <c r="AR19" s="177"/>
      <c r="AS19" s="177"/>
      <c r="AT19" s="177"/>
      <c r="AU19" s="177"/>
      <c r="AV19" s="177"/>
      <c r="AW19" s="177"/>
      <c r="AX19" s="177"/>
      <c r="AY19" s="177"/>
      <c r="AZ19" s="177"/>
      <c r="BA19" s="177"/>
      <c r="BB19" s="177"/>
      <c r="BC19" s="177"/>
    </row>
    <row r="20" spans="1:55" s="178" customFormat="1" ht="33.75">
      <c r="A20" s="795"/>
      <c r="B20" s="713" t="s">
        <v>272</v>
      </c>
      <c r="C20" s="726" t="s">
        <v>190</v>
      </c>
      <c r="D20" s="169">
        <v>2700</v>
      </c>
      <c r="E20" s="170">
        <f>D20*3.76</f>
        <v>10152</v>
      </c>
      <c r="F20" s="797">
        <f t="shared" si="0"/>
        <v>3.76</v>
      </c>
      <c r="G20" s="171">
        <f>D20*'Wskazniki emisji paliw'!L$19</f>
        <v>6.4762286400000004</v>
      </c>
      <c r="H20" s="169">
        <v>20000</v>
      </c>
      <c r="I20" s="170">
        <f>H20*3.83</f>
        <v>76600</v>
      </c>
      <c r="J20" s="797">
        <f t="shared" si="1"/>
        <v>3.83</v>
      </c>
      <c r="K20" s="171">
        <f>H20*'Wskazniki emisji paliw'!L$18</f>
        <v>53.544492875999985</v>
      </c>
      <c r="L20" s="169"/>
      <c r="M20" s="170"/>
      <c r="N20" s="171">
        <f>L20*'Wskazniki emisji paliw'!$L$28</f>
        <v>0</v>
      </c>
      <c r="O20" s="169"/>
      <c r="P20" s="170"/>
      <c r="Q20" s="171">
        <f>O20*'Wskazniki emisji paliw'!M$29</f>
        <v>0</v>
      </c>
      <c r="R20" s="169"/>
      <c r="S20" s="170"/>
      <c r="T20" s="171">
        <f>R20*'Wskazniki emisji paliw'!L$21</f>
        <v>0</v>
      </c>
      <c r="U20" s="169"/>
      <c r="V20" s="170"/>
      <c r="W20" s="171">
        <f>U20*'Wskazniki emisji paliw'!L$19*(1-W$6)</f>
        <v>0</v>
      </c>
      <c r="X20" s="169"/>
      <c r="Y20" s="170"/>
      <c r="Z20" s="171">
        <f>X20*'Wskazniki emisji paliw'!L$18*(1-Z$6)</f>
        <v>0</v>
      </c>
      <c r="AA20" s="169"/>
      <c r="AB20" s="170"/>
      <c r="AC20" s="171">
        <f>AA20*(HLOOKUP(Ogolne!$D$6,'Wskazniki emisji elektrycznosc'!$B$8:$G$29,Ogolne!$E$7,TRUE))/1000</f>
        <v>0</v>
      </c>
      <c r="AD20" s="145"/>
      <c r="AE20" s="799" t="str">
        <f t="shared" si="6"/>
        <v>Leśny Park Kultury i Wypoczynku „Myślęcinek” Sp. z o.o.</v>
      </c>
      <c r="AF20" s="799" t="str">
        <f t="shared" si="7"/>
        <v>LPKIW</v>
      </c>
      <c r="AG20" s="736"/>
      <c r="AH20" s="736"/>
      <c r="AI20" s="170">
        <f t="shared" si="8"/>
        <v>86752</v>
      </c>
      <c r="AJ20" s="171">
        <f t="shared" si="9"/>
        <v>60.020721515999988</v>
      </c>
      <c r="AK20" s="173" t="str">
        <f t="shared" si="2"/>
        <v/>
      </c>
      <c r="AL20" s="174" t="str">
        <f t="shared" si="3"/>
        <v/>
      </c>
      <c r="AM20" s="175" t="str">
        <f t="shared" si="4"/>
        <v/>
      </c>
      <c r="AN20" s="176" t="str">
        <f t="shared" si="5"/>
        <v/>
      </c>
      <c r="AO20" s="177"/>
      <c r="AP20" s="718" t="s">
        <v>286</v>
      </c>
      <c r="AQ20" s="720"/>
      <c r="AR20" s="177"/>
      <c r="AS20" s="177"/>
      <c r="AT20" s="177"/>
      <c r="AU20" s="177"/>
      <c r="AV20" s="177"/>
      <c r="AW20" s="177"/>
      <c r="AX20" s="177"/>
      <c r="AY20" s="177"/>
      <c r="AZ20" s="177"/>
      <c r="BA20" s="177"/>
      <c r="BB20" s="177"/>
      <c r="BC20" s="177"/>
    </row>
    <row r="21" spans="1:55" s="178" customFormat="1">
      <c r="A21" s="795"/>
      <c r="B21" s="713" t="s">
        <v>273</v>
      </c>
      <c r="C21" s="726" t="s">
        <v>190</v>
      </c>
      <c r="D21" s="169"/>
      <c r="E21" s="170"/>
      <c r="F21" s="797" t="str">
        <f t="shared" si="0"/>
        <v/>
      </c>
      <c r="G21" s="171">
        <f>D21*'Wskazniki emisji paliw'!L$19</f>
        <v>0</v>
      </c>
      <c r="H21" s="169"/>
      <c r="I21" s="170"/>
      <c r="J21" s="797" t="str">
        <f t="shared" si="1"/>
        <v/>
      </c>
      <c r="K21" s="171">
        <f>H21*'Wskazniki emisji paliw'!L$18</f>
        <v>0</v>
      </c>
      <c r="L21" s="169"/>
      <c r="M21" s="170"/>
      <c r="N21" s="171">
        <f>L21*'Wskazniki emisji paliw'!$L$28</f>
        <v>0</v>
      </c>
      <c r="O21" s="169"/>
      <c r="P21" s="170"/>
      <c r="Q21" s="171">
        <f>O21*'Wskazniki emisji paliw'!M$29</f>
        <v>0</v>
      </c>
      <c r="R21" s="169"/>
      <c r="S21" s="170"/>
      <c r="T21" s="171">
        <f>R21*'Wskazniki emisji paliw'!L$21</f>
        <v>0</v>
      </c>
      <c r="U21" s="169"/>
      <c r="V21" s="170"/>
      <c r="W21" s="171">
        <f>U21*'Wskazniki emisji paliw'!L$19*(1-W$6)</f>
        <v>0</v>
      </c>
      <c r="X21" s="169"/>
      <c r="Y21" s="170"/>
      <c r="Z21" s="171">
        <f>X21*'Wskazniki emisji paliw'!L$18*(1-Z$6)</f>
        <v>0</v>
      </c>
      <c r="AA21" s="169"/>
      <c r="AB21" s="170"/>
      <c r="AC21" s="171">
        <f>AA21*(HLOOKUP(Ogolne!$D$6,'Wskazniki emisji elektrycznosc'!$B$8:$G$29,Ogolne!$E$7,TRUE))/1000</f>
        <v>0</v>
      </c>
      <c r="AD21" s="145"/>
      <c r="AE21" s="799" t="str">
        <f t="shared" si="6"/>
        <v>Leśny Park Kultury i Wypoczynku „Myślęcinek” Sp. z o.o. - inne</v>
      </c>
      <c r="AF21" s="799" t="str">
        <f t="shared" si="7"/>
        <v>LPKIW</v>
      </c>
      <c r="AG21" s="172"/>
      <c r="AH21" s="172"/>
      <c r="AI21" s="170">
        <f t="shared" si="8"/>
        <v>0</v>
      </c>
      <c r="AJ21" s="171">
        <f t="shared" si="9"/>
        <v>0</v>
      </c>
      <c r="AK21" s="173" t="str">
        <f t="shared" si="2"/>
        <v/>
      </c>
      <c r="AL21" s="174" t="str">
        <f t="shared" si="3"/>
        <v/>
      </c>
      <c r="AM21" s="175" t="str">
        <f t="shared" si="4"/>
        <v/>
      </c>
      <c r="AN21" s="176" t="str">
        <f t="shared" si="5"/>
        <v/>
      </c>
      <c r="AO21" s="177"/>
      <c r="AP21" s="718" t="s">
        <v>285</v>
      </c>
      <c r="AQ21" s="720"/>
      <c r="AR21" s="177"/>
      <c r="AS21" s="177"/>
      <c r="AT21" s="177"/>
      <c r="AU21" s="177"/>
      <c r="AV21" s="177"/>
      <c r="AW21" s="177"/>
      <c r="AX21" s="177"/>
      <c r="AY21" s="177"/>
      <c r="AZ21" s="177"/>
      <c r="BA21" s="177"/>
      <c r="BB21" s="177"/>
      <c r="BC21" s="177"/>
    </row>
    <row r="22" spans="1:55" s="178" customFormat="1">
      <c r="A22" s="795"/>
      <c r="B22" s="713" t="s">
        <v>298</v>
      </c>
      <c r="C22" s="726" t="s">
        <v>299</v>
      </c>
      <c r="D22" s="169"/>
      <c r="E22" s="170"/>
      <c r="F22" s="797" t="str">
        <f t="shared" si="0"/>
        <v/>
      </c>
      <c r="G22" s="171">
        <f>D22*'Wskazniki emisji paliw'!L$19</f>
        <v>0</v>
      </c>
      <c r="H22" s="169"/>
      <c r="I22" s="170"/>
      <c r="J22" s="797" t="str">
        <f t="shared" si="1"/>
        <v/>
      </c>
      <c r="K22" s="171">
        <f>H22*'Wskazniki emisji paliw'!L$18</f>
        <v>0</v>
      </c>
      <c r="L22" s="169"/>
      <c r="M22" s="170"/>
      <c r="N22" s="171">
        <f>L22*'Wskazniki emisji paliw'!$L$28</f>
        <v>0</v>
      </c>
      <c r="O22" s="169"/>
      <c r="P22" s="170"/>
      <c r="Q22" s="171">
        <f>O22*'Wskazniki emisji paliw'!M$29</f>
        <v>0</v>
      </c>
      <c r="R22" s="169"/>
      <c r="S22" s="170"/>
      <c r="T22" s="171">
        <f>R22*'Wskazniki emisji paliw'!L$21</f>
        <v>0</v>
      </c>
      <c r="U22" s="169"/>
      <c r="V22" s="170"/>
      <c r="W22" s="171">
        <f>U22*'Wskazniki emisji paliw'!L$19*(1-W$6)</f>
        <v>0</v>
      </c>
      <c r="X22" s="169"/>
      <c r="Y22" s="170"/>
      <c r="Z22" s="171">
        <f>X22*'Wskazniki emisji paliw'!L$18*(1-Z$6)</f>
        <v>0</v>
      </c>
      <c r="AA22" s="169"/>
      <c r="AB22" s="170"/>
      <c r="AC22" s="171">
        <f>AA22*(HLOOKUP(Ogolne!$D$6,'Wskazniki emisji elektrycznosc'!$B$8:$G$29,Ogolne!$E$7,TRUE))/1000</f>
        <v>0</v>
      </c>
      <c r="AD22" s="145"/>
      <c r="AE22" s="799" t="str">
        <f t="shared" si="6"/>
        <v xml:space="preserve">Bydgoski Klub Sportowy Chemik </v>
      </c>
      <c r="AF22" s="799" t="str">
        <f t="shared" si="7"/>
        <v>BKSC</v>
      </c>
      <c r="AG22" s="172"/>
      <c r="AH22" s="172"/>
      <c r="AI22" s="170"/>
      <c r="AJ22" s="171">
        <f t="shared" si="9"/>
        <v>0</v>
      </c>
      <c r="AK22" s="173" t="str">
        <f t="shared" si="2"/>
        <v/>
      </c>
      <c r="AL22" s="174" t="str">
        <f t="shared" si="3"/>
        <v/>
      </c>
      <c r="AM22" s="175" t="str">
        <f t="shared" si="4"/>
        <v/>
      </c>
      <c r="AN22" s="176" t="str">
        <f t="shared" si="5"/>
        <v/>
      </c>
      <c r="AO22" s="177"/>
      <c r="AP22" s="718"/>
      <c r="AQ22" s="720"/>
      <c r="AR22" s="177"/>
      <c r="AS22" s="177"/>
      <c r="AT22" s="177"/>
      <c r="AU22" s="177"/>
      <c r="AV22" s="177"/>
      <c r="AW22" s="177"/>
      <c r="AX22" s="177"/>
      <c r="AY22" s="177"/>
      <c r="AZ22" s="177"/>
      <c r="BA22" s="177"/>
      <c r="BB22" s="177"/>
      <c r="BC22" s="177"/>
    </row>
    <row r="23" spans="1:55" s="178" customFormat="1">
      <c r="A23" s="795"/>
      <c r="B23" s="713" t="s">
        <v>244</v>
      </c>
      <c r="C23" s="726" t="s">
        <v>191</v>
      </c>
      <c r="D23" s="169">
        <v>1417.41</v>
      </c>
      <c r="E23" s="170">
        <v>6307.47</v>
      </c>
      <c r="F23" s="797">
        <f t="shared" si="0"/>
        <v>4.4499968251952504</v>
      </c>
      <c r="G23" s="171">
        <f>D23*'Wskazniki emisji paliw'!L$19</f>
        <v>3.3998041617120003</v>
      </c>
      <c r="H23" s="169">
        <v>675.74</v>
      </c>
      <c r="I23" s="170">
        <v>2581.33</v>
      </c>
      <c r="J23" s="797">
        <f t="shared" si="1"/>
        <v>3.8200047355491757</v>
      </c>
      <c r="K23" s="171">
        <f>H23*'Wskazniki emisji paliw'!L$18</f>
        <v>1.8091077808014115</v>
      </c>
      <c r="L23" s="169"/>
      <c r="M23" s="170"/>
      <c r="N23" s="171">
        <f>L23*'Wskazniki emisji paliw'!$L$28</f>
        <v>0</v>
      </c>
      <c r="O23" s="169"/>
      <c r="P23" s="170"/>
      <c r="Q23" s="171">
        <f>O23*'Wskazniki emisji paliw'!M$29</f>
        <v>0</v>
      </c>
      <c r="R23" s="169"/>
      <c r="S23" s="170"/>
      <c r="T23" s="171">
        <f>R23*'Wskazniki emisji paliw'!L$21</f>
        <v>0</v>
      </c>
      <c r="U23" s="169"/>
      <c r="V23" s="170"/>
      <c r="W23" s="171">
        <f>U23*'Wskazniki emisji paliw'!L$19*(1-W$6)</f>
        <v>0</v>
      </c>
      <c r="X23" s="169"/>
      <c r="Y23" s="170"/>
      <c r="Z23" s="171">
        <f>X23*'Wskazniki emisji paliw'!L$18*(1-Z$6)</f>
        <v>0</v>
      </c>
      <c r="AA23" s="169"/>
      <c r="AB23" s="170"/>
      <c r="AC23" s="171">
        <f>AA23*(HLOOKUP(Ogolne!$D$6,'Wskazniki emisji elektrycznosc'!$B$8:$G$29,Ogolne!$E$7,TRUE))/1000</f>
        <v>0</v>
      </c>
      <c r="AD23" s="145"/>
      <c r="AE23" s="799" t="str">
        <f t="shared" si="6"/>
        <v>Miejska Pracownia Geodezyjna w Bydgoszczy</v>
      </c>
      <c r="AF23" s="799" t="str">
        <f t="shared" si="7"/>
        <v>MPG</v>
      </c>
      <c r="AG23" s="172"/>
      <c r="AH23" s="172"/>
      <c r="AI23" s="170">
        <f t="shared" ref="AI23:AI30" si="10">E23+I23+M23+P23+S23+V23+Y23+AB23</f>
        <v>8888.7999999999993</v>
      </c>
      <c r="AJ23" s="171">
        <f t="shared" si="9"/>
        <v>5.2089119425134118</v>
      </c>
      <c r="AK23" s="173" t="str">
        <f t="shared" si="2"/>
        <v/>
      </c>
      <c r="AL23" s="174" t="str">
        <f t="shared" si="3"/>
        <v/>
      </c>
      <c r="AM23" s="175" t="str">
        <f t="shared" si="4"/>
        <v/>
      </c>
      <c r="AN23" s="176" t="str">
        <f t="shared" si="5"/>
        <v/>
      </c>
      <c r="AO23" s="177"/>
      <c r="AP23" s="718"/>
      <c r="AQ23" s="720"/>
      <c r="AR23" s="177"/>
      <c r="AS23" s="177"/>
      <c r="AT23" s="177"/>
      <c r="AU23" s="177"/>
      <c r="AV23" s="177"/>
      <c r="AW23" s="177"/>
      <c r="AX23" s="177"/>
      <c r="AY23" s="177"/>
      <c r="AZ23" s="177"/>
      <c r="BA23" s="177"/>
      <c r="BB23" s="177"/>
      <c r="BC23" s="177"/>
    </row>
    <row r="24" spans="1:55" s="178" customFormat="1">
      <c r="A24" s="795"/>
      <c r="B24" s="713" t="s">
        <v>245</v>
      </c>
      <c r="C24" s="726" t="s">
        <v>192</v>
      </c>
      <c r="D24" s="169"/>
      <c r="E24" s="170"/>
      <c r="F24" s="797" t="str">
        <f t="shared" si="0"/>
        <v/>
      </c>
      <c r="G24" s="171">
        <f>D24*'Wskazniki emisji paliw'!L$19</f>
        <v>0</v>
      </c>
      <c r="H24" s="169">
        <v>1477.4</v>
      </c>
      <c r="I24" s="170">
        <v>4181.04</v>
      </c>
      <c r="J24" s="797">
        <f t="shared" si="1"/>
        <v>2.8299986462704751</v>
      </c>
      <c r="K24" s="171">
        <f>H24*'Wskazniki emisji paliw'!L$18</f>
        <v>3.9553316887501189</v>
      </c>
      <c r="L24" s="169"/>
      <c r="M24" s="170"/>
      <c r="N24" s="171">
        <f>L24*'Wskazniki emisji paliw'!$L$28</f>
        <v>0</v>
      </c>
      <c r="O24" s="169"/>
      <c r="P24" s="170"/>
      <c r="Q24" s="171">
        <f>O24*'Wskazniki emisji paliw'!M$29</f>
        <v>0</v>
      </c>
      <c r="R24" s="169"/>
      <c r="S24" s="170"/>
      <c r="T24" s="171">
        <f>R24*'Wskazniki emisji paliw'!L$21</f>
        <v>0</v>
      </c>
      <c r="U24" s="169"/>
      <c r="V24" s="170"/>
      <c r="W24" s="171">
        <f>U24*'Wskazniki emisji paliw'!L$19*(1-W$6)</f>
        <v>0</v>
      </c>
      <c r="X24" s="169"/>
      <c r="Y24" s="170"/>
      <c r="Z24" s="171">
        <f>X24*'Wskazniki emisji paliw'!L$18*(1-Z$6)</f>
        <v>0</v>
      </c>
      <c r="AA24" s="169"/>
      <c r="AB24" s="170"/>
      <c r="AC24" s="171">
        <f>AA24*(HLOOKUP(Ogolne!$D$6,'Wskazniki emisji elektrycznosc'!$B$8:$G$29,Ogolne!$E$7,TRUE))/1000</f>
        <v>0</v>
      </c>
      <c r="AD24" s="145"/>
      <c r="AE24" s="799" t="str">
        <f t="shared" si="6"/>
        <v>Miejski Ośrodek Kultury w Bydgoszczy</v>
      </c>
      <c r="AF24" s="799" t="str">
        <f t="shared" si="7"/>
        <v>MOK</v>
      </c>
      <c r="AG24" s="172">
        <v>1</v>
      </c>
      <c r="AH24" s="172">
        <v>12405</v>
      </c>
      <c r="AI24" s="170">
        <f t="shared" si="10"/>
        <v>4181.04</v>
      </c>
      <c r="AJ24" s="171">
        <f t="shared" si="9"/>
        <v>3.9553316887501189</v>
      </c>
      <c r="AK24" s="173">
        <f t="shared" si="2"/>
        <v>0.33704474002418378</v>
      </c>
      <c r="AL24" s="174">
        <f t="shared" si="3"/>
        <v>4181.04</v>
      </c>
      <c r="AM24" s="175">
        <f t="shared" si="4"/>
        <v>3.1884979353084391E-4</v>
      </c>
      <c r="AN24" s="176">
        <f t="shared" si="5"/>
        <v>3.9553316887501189</v>
      </c>
      <c r="AO24" s="177"/>
      <c r="AP24" s="718"/>
      <c r="AQ24" s="720"/>
      <c r="AR24" s="177"/>
      <c r="AS24" s="177"/>
      <c r="AT24" s="177"/>
      <c r="AU24" s="177"/>
      <c r="AV24" s="177"/>
      <c r="AW24" s="177"/>
      <c r="AX24" s="177"/>
      <c r="AY24" s="177"/>
      <c r="AZ24" s="177"/>
      <c r="BA24" s="177"/>
      <c r="BB24" s="177"/>
      <c r="BC24" s="177"/>
    </row>
    <row r="25" spans="1:55" s="178" customFormat="1">
      <c r="A25" s="795"/>
      <c r="B25" s="713" t="s">
        <v>221</v>
      </c>
      <c r="C25" s="726" t="s">
        <v>193</v>
      </c>
      <c r="D25" s="169">
        <v>1513.25</v>
      </c>
      <c r="E25" s="170">
        <v>4159.24</v>
      </c>
      <c r="F25" s="797">
        <f t="shared" si="0"/>
        <v>2.748547827523542</v>
      </c>
      <c r="G25" s="171">
        <f>D25*'Wskazniki emisji paliw'!L$19</f>
        <v>3.6296862924000002</v>
      </c>
      <c r="H25" s="169">
        <v>5694</v>
      </c>
      <c r="I25" s="170">
        <v>14650.25</v>
      </c>
      <c r="J25" s="797">
        <f t="shared" si="1"/>
        <v>2.5729276431331227</v>
      </c>
      <c r="K25" s="171">
        <f>H25*'Wskazniki emisji paliw'!L$18</f>
        <v>15.244117121797196</v>
      </c>
      <c r="L25" s="169"/>
      <c r="M25" s="170"/>
      <c r="N25" s="171">
        <f>L25*'Wskazniki emisji paliw'!$L$28</f>
        <v>0</v>
      </c>
      <c r="O25" s="169"/>
      <c r="P25" s="170"/>
      <c r="Q25" s="171">
        <f>O25*'Wskazniki emisji paliw'!M$29</f>
        <v>0</v>
      </c>
      <c r="R25" s="169"/>
      <c r="S25" s="170"/>
      <c r="T25" s="171">
        <f>R25*'Wskazniki emisji paliw'!L$21</f>
        <v>0</v>
      </c>
      <c r="U25" s="169"/>
      <c r="V25" s="170"/>
      <c r="W25" s="171">
        <f>U25*'Wskazniki emisji paliw'!L$19*(1-W$6)</f>
        <v>0</v>
      </c>
      <c r="X25" s="169"/>
      <c r="Y25" s="170"/>
      <c r="Z25" s="171">
        <f>X25*'Wskazniki emisji paliw'!L$18*(1-Z$6)</f>
        <v>0</v>
      </c>
      <c r="AA25" s="169"/>
      <c r="AB25" s="170"/>
      <c r="AC25" s="171">
        <f>AA25*(HLOOKUP(Ogolne!$D$6,'Wskazniki emisji elektrycznosc'!$B$8:$G$29,Ogolne!$E$7,TRUE))/1000</f>
        <v>0</v>
      </c>
      <c r="AD25" s="145"/>
      <c r="AE25" s="799" t="str">
        <f t="shared" si="6"/>
        <v>Miejski Ośrodek Pomocy Społecznej - DPS i Domy Dziecka</v>
      </c>
      <c r="AF25" s="799" t="str">
        <f t="shared" si="7"/>
        <v>MOPS</v>
      </c>
      <c r="AG25" s="172">
        <v>7</v>
      </c>
      <c r="AH25" s="172">
        <v>66431</v>
      </c>
      <c r="AI25" s="170">
        <f t="shared" si="10"/>
        <v>18809.489999999998</v>
      </c>
      <c r="AJ25" s="171">
        <f t="shared" si="9"/>
        <v>18.873803414197194</v>
      </c>
      <c r="AK25" s="173">
        <f t="shared" si="2"/>
        <v>0.28314326142915203</v>
      </c>
      <c r="AL25" s="174">
        <f t="shared" si="3"/>
        <v>2687.0699999999997</v>
      </c>
      <c r="AM25" s="175">
        <f t="shared" si="4"/>
        <v>2.8411138495878721E-4</v>
      </c>
      <c r="AN25" s="176">
        <f t="shared" si="5"/>
        <v>2.6962576305995993</v>
      </c>
      <c r="AO25" s="177"/>
      <c r="AP25" s="718"/>
      <c r="AQ25" s="720"/>
      <c r="AR25" s="177"/>
      <c r="AS25" s="177"/>
      <c r="AT25" s="177"/>
      <c r="AU25" s="177"/>
      <c r="AV25" s="177"/>
      <c r="AW25" s="177"/>
      <c r="AX25" s="177"/>
      <c r="AY25" s="177"/>
      <c r="AZ25" s="177"/>
      <c r="BA25" s="177"/>
      <c r="BB25" s="177"/>
      <c r="BC25" s="177"/>
    </row>
    <row r="26" spans="1:55" s="178" customFormat="1" ht="22.5">
      <c r="A26" s="795"/>
      <c r="B26" s="713" t="s">
        <v>220</v>
      </c>
      <c r="C26" s="726" t="s">
        <v>193</v>
      </c>
      <c r="D26" s="169">
        <v>1713.2</v>
      </c>
      <c r="E26" s="170">
        <v>6781.14</v>
      </c>
      <c r="F26" s="797">
        <f t="shared" si="0"/>
        <v>3.9581718421667058</v>
      </c>
      <c r="G26" s="171">
        <f>D26*'Wskazniki emisji paliw'!L$19</f>
        <v>4.1092870022400003</v>
      </c>
      <c r="H26" s="169"/>
      <c r="I26" s="170"/>
      <c r="J26" s="797" t="str">
        <f t="shared" si="1"/>
        <v/>
      </c>
      <c r="K26" s="171">
        <f>H26*'Wskazniki emisji paliw'!L$18</f>
        <v>0</v>
      </c>
      <c r="L26" s="169"/>
      <c r="M26" s="170"/>
      <c r="N26" s="171">
        <f>L26*'Wskazniki emisji paliw'!$L$28</f>
        <v>0</v>
      </c>
      <c r="O26" s="169"/>
      <c r="P26" s="170"/>
      <c r="Q26" s="171">
        <f>O26*'Wskazniki emisji paliw'!M$29</f>
        <v>0</v>
      </c>
      <c r="R26" s="169"/>
      <c r="S26" s="170"/>
      <c r="T26" s="171">
        <f>R26*'Wskazniki emisji paliw'!L$21</f>
        <v>0</v>
      </c>
      <c r="U26" s="169"/>
      <c r="V26" s="170"/>
      <c r="W26" s="171">
        <f>U26*'Wskazniki emisji paliw'!L$19*(1-W$6)</f>
        <v>0</v>
      </c>
      <c r="X26" s="169"/>
      <c r="Y26" s="170"/>
      <c r="Z26" s="171">
        <f>X26*'Wskazniki emisji paliw'!L$18*(1-Z$6)</f>
        <v>0</v>
      </c>
      <c r="AA26" s="169"/>
      <c r="AB26" s="170"/>
      <c r="AC26" s="171">
        <f>AA26*(HLOOKUP(Ogolne!$D$6,'Wskazniki emisji elektrycznosc'!$B$8:$G$29,Ogolne!$E$7,TRUE))/1000</f>
        <v>0</v>
      </c>
      <c r="AD26" s="145"/>
      <c r="AE26" s="799" t="str">
        <f t="shared" si="6"/>
        <v>Miejski Ośrodek Pomocy Społecznej - MOPS ogólne</v>
      </c>
      <c r="AF26" s="799" t="str">
        <f t="shared" si="7"/>
        <v>MOPS</v>
      </c>
      <c r="AG26" s="172">
        <v>1</v>
      </c>
      <c r="AH26" s="172">
        <v>17685</v>
      </c>
      <c r="AI26" s="170">
        <f t="shared" si="10"/>
        <v>6781.14</v>
      </c>
      <c r="AJ26" s="171">
        <f t="shared" si="9"/>
        <v>4.1092870022400003</v>
      </c>
      <c r="AK26" s="173">
        <f t="shared" si="2"/>
        <v>0.38344020356234099</v>
      </c>
      <c r="AL26" s="174">
        <f t="shared" si="3"/>
        <v>6781.14</v>
      </c>
      <c r="AM26" s="175">
        <f t="shared" si="4"/>
        <v>2.3236002274469892E-4</v>
      </c>
      <c r="AN26" s="176">
        <f t="shared" si="5"/>
        <v>4.1092870022400003</v>
      </c>
      <c r="AO26" s="177"/>
      <c r="AP26" s="100" t="s">
        <v>233</v>
      </c>
      <c r="AQ26" s="720"/>
      <c r="AR26" s="177"/>
      <c r="AS26" s="177"/>
      <c r="AT26" s="177"/>
      <c r="AU26" s="177"/>
      <c r="AV26" s="177"/>
      <c r="AW26" s="177"/>
      <c r="AX26" s="177"/>
      <c r="AY26" s="177"/>
      <c r="AZ26" s="177"/>
      <c r="BA26" s="177"/>
      <c r="BB26" s="177"/>
      <c r="BC26" s="177"/>
    </row>
    <row r="27" spans="1:55" s="178" customFormat="1" ht="22.5">
      <c r="A27" s="795"/>
      <c r="B27" s="713" t="s">
        <v>222</v>
      </c>
      <c r="C27" s="726" t="s">
        <v>193</v>
      </c>
      <c r="D27" s="169">
        <v>1132</v>
      </c>
      <c r="E27" s="170">
        <v>4338</v>
      </c>
      <c r="F27" s="797">
        <f t="shared" si="0"/>
        <v>3.8321554770318023</v>
      </c>
      <c r="G27" s="171">
        <f>D27*'Wskazniki emisji paliw'!L$19</f>
        <v>2.7152188224000002</v>
      </c>
      <c r="H27" s="169">
        <v>2755</v>
      </c>
      <c r="I27" s="170">
        <v>11174</v>
      </c>
      <c r="J27" s="797">
        <f t="shared" si="1"/>
        <v>4.0558983666061703</v>
      </c>
      <c r="K27" s="171">
        <f>H27*'Wskazniki emisji paliw'!L$18</f>
        <v>7.3757538936689979</v>
      </c>
      <c r="L27" s="169"/>
      <c r="M27" s="170"/>
      <c r="N27" s="171">
        <f>L27*'Wskazniki emisji paliw'!$L$28</f>
        <v>0</v>
      </c>
      <c r="O27" s="169"/>
      <c r="P27" s="170"/>
      <c r="Q27" s="171">
        <f>O27*'Wskazniki emisji paliw'!M$29</f>
        <v>0</v>
      </c>
      <c r="R27" s="169"/>
      <c r="S27" s="170"/>
      <c r="T27" s="171">
        <f>R27*'Wskazniki emisji paliw'!L$21</f>
        <v>0</v>
      </c>
      <c r="U27" s="169"/>
      <c r="V27" s="170"/>
      <c r="W27" s="171">
        <f>U27*'Wskazniki emisji paliw'!L$19*(1-W$6)</f>
        <v>0</v>
      </c>
      <c r="X27" s="169"/>
      <c r="Y27" s="170"/>
      <c r="Z27" s="171">
        <f>X27*'Wskazniki emisji paliw'!L$18*(1-Z$6)</f>
        <v>0</v>
      </c>
      <c r="AA27" s="169"/>
      <c r="AB27" s="170"/>
      <c r="AC27" s="171">
        <f>AA27*(HLOOKUP(Ogolne!$D$6,'Wskazniki emisji elektrycznosc'!$B$8:$G$29,Ogolne!$E$7,TRUE))/1000</f>
        <v>0</v>
      </c>
      <c r="AD27" s="145"/>
      <c r="AE27" s="799" t="str">
        <f t="shared" si="6"/>
        <v>Miejski Ośrodek Pomocy Społecznej - ZPOW</v>
      </c>
      <c r="AF27" s="799" t="str">
        <f t="shared" si="7"/>
        <v>MOPS</v>
      </c>
      <c r="AG27" s="172">
        <v>7</v>
      </c>
      <c r="AH27" s="172">
        <v>40701</v>
      </c>
      <c r="AI27" s="170">
        <f t="shared" si="10"/>
        <v>15512</v>
      </c>
      <c r="AJ27" s="171">
        <f t="shared" si="9"/>
        <v>10.090972716068999</v>
      </c>
      <c r="AK27" s="173">
        <f t="shared" si="2"/>
        <v>0.38112085698140097</v>
      </c>
      <c r="AL27" s="174">
        <f t="shared" si="3"/>
        <v>2216</v>
      </c>
      <c r="AM27" s="175">
        <f t="shared" si="4"/>
        <v>2.4792935593889579E-4</v>
      </c>
      <c r="AN27" s="176">
        <f t="shared" si="5"/>
        <v>1.4415675308669997</v>
      </c>
      <c r="AO27" s="177"/>
      <c r="AP27" s="100" t="s">
        <v>233</v>
      </c>
      <c r="AQ27" s="720"/>
      <c r="AR27" s="177"/>
      <c r="AS27" s="177"/>
      <c r="AT27" s="177"/>
      <c r="AU27" s="177"/>
      <c r="AV27" s="177"/>
      <c r="AW27" s="177"/>
      <c r="AX27" s="177"/>
      <c r="AY27" s="177"/>
      <c r="AZ27" s="177"/>
      <c r="BA27" s="177"/>
      <c r="BB27" s="177"/>
      <c r="BC27" s="177"/>
    </row>
    <row r="28" spans="1:55" s="178" customFormat="1" ht="22.5">
      <c r="A28" s="795"/>
      <c r="B28" s="713" t="s">
        <v>274</v>
      </c>
      <c r="C28" s="726" t="s">
        <v>195</v>
      </c>
      <c r="D28" s="169">
        <v>25211</v>
      </c>
      <c r="E28" s="170">
        <v>91964.685799999992</v>
      </c>
      <c r="F28" s="797">
        <f t="shared" si="0"/>
        <v>3.6477999999999997</v>
      </c>
      <c r="G28" s="171">
        <f>D28*'Wskazniki emisji paliw'!L$19</f>
        <v>60.4711852752</v>
      </c>
      <c r="H28" s="169">
        <v>106358</v>
      </c>
      <c r="I28" s="170">
        <v>367211.63079999998</v>
      </c>
      <c r="J28" s="797">
        <f t="shared" si="1"/>
        <v>3.4525999999999999</v>
      </c>
      <c r="K28" s="171">
        <f>H28*'Wskazniki emisji paliw'!L$18</f>
        <v>284.74425866528031</v>
      </c>
      <c r="L28" s="169"/>
      <c r="M28" s="170"/>
      <c r="N28" s="171">
        <f>L28*'Wskazniki emisji paliw'!$L$28</f>
        <v>0</v>
      </c>
      <c r="O28" s="169"/>
      <c r="P28" s="170"/>
      <c r="Q28" s="171">
        <f>O28*'Wskazniki emisji paliw'!M$29</f>
        <v>0</v>
      </c>
      <c r="R28" s="169"/>
      <c r="S28" s="170"/>
      <c r="T28" s="171">
        <f>R28*'Wskazniki emisji paliw'!L$21</f>
        <v>0</v>
      </c>
      <c r="U28" s="169"/>
      <c r="V28" s="170"/>
      <c r="W28" s="171">
        <f>U28*'Wskazniki emisji paliw'!L$19*(1-W$6)</f>
        <v>0</v>
      </c>
      <c r="X28" s="169"/>
      <c r="Y28" s="170"/>
      <c r="Z28" s="171">
        <f>X28*'Wskazniki emisji paliw'!L$18*(1-Z$6)</f>
        <v>0</v>
      </c>
      <c r="AA28" s="169"/>
      <c r="AB28" s="170"/>
      <c r="AC28" s="171">
        <f>AA28*(HLOOKUP(Ogolne!$D$6,'Wskazniki emisji elektrycznosc'!$B$8:$G$29,Ogolne!$E$7,TRUE))/1000</f>
        <v>0</v>
      </c>
      <c r="AD28" s="145"/>
      <c r="AE28" s="799" t="str">
        <f t="shared" si="6"/>
        <v xml:space="preserve">Miejskie Wodociągi i Kanalizacja w Bydgoszczy Sp. z o.o. </v>
      </c>
      <c r="AF28" s="799" t="str">
        <f t="shared" si="7"/>
        <v>MWIK</v>
      </c>
      <c r="AG28" s="172">
        <v>88</v>
      </c>
      <c r="AH28" s="172">
        <v>814659</v>
      </c>
      <c r="AI28" s="170">
        <f t="shared" si="10"/>
        <v>459176.31659999996</v>
      </c>
      <c r="AJ28" s="171">
        <f t="shared" si="9"/>
        <v>345.21544394048033</v>
      </c>
      <c r="AK28" s="173">
        <f t="shared" si="2"/>
        <v>0.56364235416290742</v>
      </c>
      <c r="AL28" s="174">
        <f t="shared" si="3"/>
        <v>5217.9126886363629</v>
      </c>
      <c r="AM28" s="175">
        <f t="shared" si="4"/>
        <v>4.2375453280511273E-4</v>
      </c>
      <c r="AN28" s="176">
        <f t="shared" si="5"/>
        <v>3.9229027720509126</v>
      </c>
      <c r="AO28" s="177"/>
      <c r="AP28" s="100" t="s">
        <v>233</v>
      </c>
      <c r="AQ28" s="720"/>
      <c r="AR28" s="177"/>
      <c r="AS28" s="177"/>
      <c r="AT28" s="177"/>
      <c r="AU28" s="177"/>
      <c r="AV28" s="177"/>
      <c r="AW28" s="177"/>
      <c r="AX28" s="177"/>
      <c r="AY28" s="177"/>
      <c r="AZ28" s="177"/>
      <c r="BA28" s="177"/>
      <c r="BB28" s="177"/>
      <c r="BC28" s="177"/>
    </row>
    <row r="29" spans="1:55" s="178" customFormat="1">
      <c r="A29" s="795"/>
      <c r="B29" s="713" t="s">
        <v>275</v>
      </c>
      <c r="C29" s="726" t="s">
        <v>195</v>
      </c>
      <c r="D29" s="169"/>
      <c r="E29" s="170"/>
      <c r="F29" s="797" t="str">
        <f t="shared" si="0"/>
        <v/>
      </c>
      <c r="G29" s="171">
        <f>D29*'Wskazniki emisji paliw'!L$19</f>
        <v>0</v>
      </c>
      <c r="H29" s="169">
        <v>306818</v>
      </c>
      <c r="I29" s="170">
        <v>1059319.8267999999</v>
      </c>
      <c r="J29" s="797">
        <f t="shared" si="1"/>
        <v>3.4525999999999999</v>
      </c>
      <c r="K29" s="171">
        <f>H29*'Wskazniki emisji paliw'!L$18</f>
        <v>821.42071076142815</v>
      </c>
      <c r="L29" s="169"/>
      <c r="M29" s="170"/>
      <c r="N29" s="171">
        <f>L29*'Wskazniki emisji paliw'!$L$28</f>
        <v>0</v>
      </c>
      <c r="O29" s="169"/>
      <c r="P29" s="170"/>
      <c r="Q29" s="171">
        <f>O29*'Wskazniki emisji paliw'!M$29</f>
        <v>0</v>
      </c>
      <c r="R29" s="169"/>
      <c r="S29" s="170"/>
      <c r="T29" s="171">
        <f>R29*'Wskazniki emisji paliw'!L$21</f>
        <v>0</v>
      </c>
      <c r="U29" s="169"/>
      <c r="V29" s="170"/>
      <c r="W29" s="171">
        <f>U29*'Wskazniki emisji paliw'!L$19*(1-W$6)</f>
        <v>0</v>
      </c>
      <c r="X29" s="169"/>
      <c r="Y29" s="170"/>
      <c r="Z29" s="171">
        <f>X29*'Wskazniki emisji paliw'!L$18*(1-Z$6)</f>
        <v>0</v>
      </c>
      <c r="AA29" s="169"/>
      <c r="AB29" s="170"/>
      <c r="AC29" s="171">
        <f>AA29*(HLOOKUP(Ogolne!$D$6,'Wskazniki emisji elektrycznosc'!$B$8:$G$29,Ogolne!$E$7,TRUE))/1000</f>
        <v>0</v>
      </c>
      <c r="AD29" s="145"/>
      <c r="AE29" s="799" t="str">
        <f t="shared" si="6"/>
        <v>Miejskie Wodociągi i Kanalizacja w Bydgoszczy Sp. z o.o.  - inne</v>
      </c>
      <c r="AF29" s="799" t="str">
        <f t="shared" si="7"/>
        <v>MWIK</v>
      </c>
      <c r="AG29" s="172">
        <v>41</v>
      </c>
      <c r="AH29" s="172"/>
      <c r="AI29" s="170">
        <f t="shared" si="10"/>
        <v>1059319.8267999999</v>
      </c>
      <c r="AJ29" s="171">
        <f t="shared" si="9"/>
        <v>821.42071076142815</v>
      </c>
      <c r="AK29" s="173" t="str">
        <f t="shared" si="2"/>
        <v/>
      </c>
      <c r="AL29" s="174">
        <f t="shared" si="3"/>
        <v>25837.06894634146</v>
      </c>
      <c r="AM29" s="175" t="str">
        <f t="shared" si="4"/>
        <v/>
      </c>
      <c r="AN29" s="176">
        <f t="shared" si="5"/>
        <v>20.034651481986053</v>
      </c>
      <c r="AO29" s="177"/>
      <c r="AP29" s="718"/>
      <c r="AQ29" s="720"/>
      <c r="AR29" s="177"/>
      <c r="AS29" s="177"/>
      <c r="AT29" s="177"/>
      <c r="AU29" s="177"/>
      <c r="AV29" s="177"/>
      <c r="AW29" s="177"/>
      <c r="AX29" s="177"/>
      <c r="AY29" s="177"/>
      <c r="AZ29" s="177"/>
      <c r="BA29" s="177"/>
      <c r="BB29" s="177"/>
      <c r="BC29" s="177"/>
    </row>
    <row r="30" spans="1:55" s="178" customFormat="1">
      <c r="A30" s="795"/>
      <c r="B30" s="713" t="s">
        <v>246</v>
      </c>
      <c r="C30" s="726" t="s">
        <v>196</v>
      </c>
      <c r="D30" s="169">
        <v>7696</v>
      </c>
      <c r="E30" s="170">
        <v>29106.76</v>
      </c>
      <c r="F30" s="797">
        <f t="shared" si="0"/>
        <v>3.7820634095634094</v>
      </c>
      <c r="G30" s="171">
        <f>D30*'Wskazniki emisji paliw'!L$19</f>
        <v>18.459650227200001</v>
      </c>
      <c r="H30" s="169">
        <v>129748</v>
      </c>
      <c r="I30" s="170">
        <v>445326.84</v>
      </c>
      <c r="J30" s="797">
        <f t="shared" si="1"/>
        <v>3.4322443505872924</v>
      </c>
      <c r="K30" s="171">
        <f>H30*'Wskazniki emisji paliw'!L$18</f>
        <v>347.36454308376227</v>
      </c>
      <c r="L30" s="169"/>
      <c r="M30" s="170"/>
      <c r="N30" s="171">
        <f>L30*'Wskazniki emisji paliw'!$L$28</f>
        <v>0</v>
      </c>
      <c r="O30" s="169"/>
      <c r="P30" s="170"/>
      <c r="Q30" s="171">
        <f>O30*'Wskazniki emisji paliw'!M$29</f>
        <v>0</v>
      </c>
      <c r="R30" s="169"/>
      <c r="S30" s="170"/>
      <c r="T30" s="171">
        <f>R30*'Wskazniki emisji paliw'!L$21</f>
        <v>0</v>
      </c>
      <c r="U30" s="169"/>
      <c r="V30" s="170"/>
      <c r="W30" s="171">
        <f>U30*'Wskazniki emisji paliw'!L$19*(1-W$6)</f>
        <v>0</v>
      </c>
      <c r="X30" s="169"/>
      <c r="Y30" s="170"/>
      <c r="Z30" s="171">
        <f>X30*'Wskazniki emisji paliw'!L$18*(1-Z$6)</f>
        <v>0</v>
      </c>
      <c r="AA30" s="169"/>
      <c r="AB30" s="170"/>
      <c r="AC30" s="171">
        <f>AA30*(HLOOKUP(Ogolne!$D$6,'Wskazniki emisji elektrycznosc'!$B$8:$G$29,Ogolne!$E$7,TRUE))/1000</f>
        <v>0</v>
      </c>
      <c r="AD30" s="145"/>
      <c r="AE30" s="799" t="str">
        <f t="shared" si="6"/>
        <v>Miejskie Zakłady Komunikacyjne Sp. z o.o. w Bydgoszczy</v>
      </c>
      <c r="AF30" s="799" t="str">
        <f t="shared" si="7"/>
        <v>MZK</v>
      </c>
      <c r="AG30" s="172">
        <v>34</v>
      </c>
      <c r="AH30" s="172">
        <v>494357</v>
      </c>
      <c r="AI30" s="170">
        <f t="shared" si="10"/>
        <v>474433.60000000003</v>
      </c>
      <c r="AJ30" s="171">
        <f t="shared" si="9"/>
        <v>365.8241933109623</v>
      </c>
      <c r="AK30" s="173">
        <f t="shared" si="2"/>
        <v>0.95969835564177308</v>
      </c>
      <c r="AL30" s="174">
        <f t="shared" si="3"/>
        <v>13953.929411764708</v>
      </c>
      <c r="AM30" s="175">
        <f t="shared" si="4"/>
        <v>7.4000002692580934E-4</v>
      </c>
      <c r="AN30" s="176">
        <f t="shared" si="5"/>
        <v>10.759535097381244</v>
      </c>
      <c r="AO30" s="177"/>
      <c r="AP30" s="718"/>
      <c r="AQ30" s="720"/>
      <c r="AR30" s="177"/>
      <c r="AS30" s="177"/>
      <c r="AT30" s="177"/>
      <c r="AU30" s="177"/>
      <c r="AV30" s="177"/>
      <c r="AW30" s="177"/>
      <c r="AX30" s="177"/>
      <c r="AY30" s="177"/>
      <c r="AZ30" s="177"/>
      <c r="BA30" s="177"/>
      <c r="BB30" s="177"/>
      <c r="BC30" s="177"/>
    </row>
    <row r="31" spans="1:55" s="178" customFormat="1">
      <c r="A31" s="795"/>
      <c r="B31" s="713" t="s">
        <v>276</v>
      </c>
      <c r="C31" s="726" t="s">
        <v>196</v>
      </c>
      <c r="D31" s="169"/>
      <c r="E31" s="170"/>
      <c r="F31" s="797" t="str">
        <f t="shared" si="0"/>
        <v/>
      </c>
      <c r="G31" s="171">
        <f>D31*'Wskazniki emisji paliw'!L$19</f>
        <v>0</v>
      </c>
      <c r="H31" s="169">
        <v>6711781</v>
      </c>
      <c r="I31" s="170">
        <v>23142525.260000002</v>
      </c>
      <c r="J31" s="797">
        <f t="shared" si="1"/>
        <v>3.4480453489170761</v>
      </c>
      <c r="K31" s="171">
        <f>H31*'Wskazniki emisji paliw'!L$18</f>
        <v>17968.945496988603</v>
      </c>
      <c r="L31" s="169"/>
      <c r="M31" s="170"/>
      <c r="N31" s="171">
        <f>L31*'Wskazniki emisji paliw'!$L$28</f>
        <v>0</v>
      </c>
      <c r="O31" s="169"/>
      <c r="P31" s="170"/>
      <c r="Q31" s="171">
        <f>O31*'Wskazniki emisji paliw'!M$29</f>
        <v>0</v>
      </c>
      <c r="R31" s="169"/>
      <c r="S31" s="170"/>
      <c r="T31" s="171">
        <f>R31*'Wskazniki emisji paliw'!L$21</f>
        <v>0</v>
      </c>
      <c r="U31" s="169"/>
      <c r="V31" s="170"/>
      <c r="W31" s="171">
        <f>U31*'Wskazniki emisji paliw'!L$19*(1-W$6)</f>
        <v>0</v>
      </c>
      <c r="X31" s="169"/>
      <c r="Y31" s="170"/>
      <c r="Z31" s="171">
        <f>X31*'Wskazniki emisji paliw'!L$18*(1-Z$6)</f>
        <v>0</v>
      </c>
      <c r="AA31" s="169"/>
      <c r="AB31" s="170"/>
      <c r="AC31" s="171">
        <f>AA31*(HLOOKUP(Ogolne!$D$6,'Wskazniki emisji elektrycznosc'!$B$8:$G$29,Ogolne!$E$7,TRUE))/1000</f>
        <v>0</v>
      </c>
      <c r="AD31" s="145"/>
      <c r="AE31" s="799" t="str">
        <f t="shared" si="6"/>
        <v>Miejskie Zakłady Komunikacyjne Sp. z o.o. w Bydgoszczy - autobusy</v>
      </c>
      <c r="AF31" s="799" t="str">
        <f t="shared" si="7"/>
        <v>MZK</v>
      </c>
      <c r="AG31" s="172">
        <v>199</v>
      </c>
      <c r="AH31" s="172">
        <v>14371100</v>
      </c>
      <c r="AI31" s="170"/>
      <c r="AJ31" s="171">
        <f t="shared" si="9"/>
        <v>17968.945496988603</v>
      </c>
      <c r="AK31" s="173">
        <f t="shared" si="2"/>
        <v>0</v>
      </c>
      <c r="AL31" s="174">
        <f t="shared" si="3"/>
        <v>0</v>
      </c>
      <c r="AM31" s="175">
        <f t="shared" si="4"/>
        <v>1.2503528259485079E-3</v>
      </c>
      <c r="AN31" s="176">
        <f t="shared" si="5"/>
        <v>90.296208527580916</v>
      </c>
      <c r="AO31" s="177"/>
      <c r="AP31" s="718"/>
      <c r="AQ31" s="720"/>
      <c r="AR31" s="177"/>
      <c r="AS31" s="177"/>
      <c r="AT31" s="177"/>
      <c r="AU31" s="177"/>
      <c r="AV31" s="177"/>
      <c r="AW31" s="177"/>
      <c r="AX31" s="177"/>
      <c r="AY31" s="177"/>
      <c r="AZ31" s="177"/>
      <c r="BA31" s="177"/>
      <c r="BB31" s="177"/>
      <c r="BC31" s="177"/>
    </row>
    <row r="32" spans="1:55" s="178" customFormat="1">
      <c r="A32" s="795"/>
      <c r="B32" s="713" t="s">
        <v>277</v>
      </c>
      <c r="C32" s="726" t="s">
        <v>196</v>
      </c>
      <c r="D32" s="169"/>
      <c r="E32" s="170"/>
      <c r="F32" s="797" t="str">
        <f t="shared" si="0"/>
        <v/>
      </c>
      <c r="G32" s="171">
        <f>D32*'Wskazniki emisji paliw'!L$19</f>
        <v>0</v>
      </c>
      <c r="H32" s="169"/>
      <c r="I32" s="170"/>
      <c r="J32" s="797" t="str">
        <f t="shared" si="1"/>
        <v/>
      </c>
      <c r="K32" s="171">
        <f>H32*'Wskazniki emisji paliw'!L$18</f>
        <v>0</v>
      </c>
      <c r="L32" s="169"/>
      <c r="M32" s="170"/>
      <c r="N32" s="171">
        <f>L32*'Wskazniki emisji paliw'!$L$28</f>
        <v>0</v>
      </c>
      <c r="O32" s="169"/>
      <c r="P32" s="170"/>
      <c r="Q32" s="171">
        <f>O32*'Wskazniki emisji paliw'!M$29</f>
        <v>0</v>
      </c>
      <c r="R32" s="169"/>
      <c r="S32" s="170"/>
      <c r="T32" s="171">
        <f>R32*'Wskazniki emisji paliw'!L$21</f>
        <v>0</v>
      </c>
      <c r="U32" s="169"/>
      <c r="V32" s="170"/>
      <c r="W32" s="171">
        <f>U32*'Wskazniki emisji paliw'!L$19*(1-W$6)</f>
        <v>0</v>
      </c>
      <c r="X32" s="169"/>
      <c r="Y32" s="170"/>
      <c r="Z32" s="171">
        <f>X32*'Wskazniki emisji paliw'!L$18*(1-Z$6)</f>
        <v>0</v>
      </c>
      <c r="AA32" s="169">
        <f>517815+16971000</f>
        <v>17488815</v>
      </c>
      <c r="AB32" s="170">
        <f>223277.08+5109557</f>
        <v>5332834.08</v>
      </c>
      <c r="AC32" s="171">
        <f>AA32*(HLOOKUP(Ogolne!$D$6,'Wskazniki emisji elektrycznosc'!$B$8:$G$29,Ogolne!$E$7,TRUE))/1000</f>
        <v>17174.016329999999</v>
      </c>
      <c r="AD32" s="145"/>
      <c r="AE32" s="799" t="str">
        <f t="shared" si="6"/>
        <v>Miejskie Zakłady Komunikacyjne Sp. z o.o. w Bydgoszczy - tramwaje</v>
      </c>
      <c r="AF32" s="799" t="str">
        <f t="shared" si="7"/>
        <v>MZK</v>
      </c>
      <c r="AG32" s="172">
        <v>114</v>
      </c>
      <c r="AH32" s="172">
        <v>5999987.0999999996</v>
      </c>
      <c r="AI32" s="170">
        <f>E32+I32+M32+P32+S32+V32+Y32+AB32</f>
        <v>5332834.08</v>
      </c>
      <c r="AJ32" s="171">
        <f t="shared" si="9"/>
        <v>17174.016329999999</v>
      </c>
      <c r="AK32" s="173">
        <f t="shared" si="2"/>
        <v>0.88880759093632056</v>
      </c>
      <c r="AL32" s="174">
        <f t="shared" si="3"/>
        <v>46779.246315789474</v>
      </c>
      <c r="AM32" s="175">
        <f t="shared" si="4"/>
        <v>2.8623422090357496E-3</v>
      </c>
      <c r="AN32" s="176">
        <f t="shared" si="5"/>
        <v>150.64926605263156</v>
      </c>
      <c r="AO32" s="177"/>
      <c r="AP32" s="718"/>
      <c r="AQ32" s="720"/>
      <c r="AR32" s="177"/>
      <c r="AS32" s="177"/>
      <c r="AT32" s="177"/>
      <c r="AU32" s="177"/>
      <c r="AV32" s="177"/>
      <c r="AW32" s="177"/>
      <c r="AX32" s="177"/>
      <c r="AY32" s="177"/>
      <c r="AZ32" s="177"/>
      <c r="BA32" s="177"/>
      <c r="BB32" s="177"/>
      <c r="BC32" s="177"/>
    </row>
    <row r="33" spans="1:55" s="178" customFormat="1">
      <c r="A33" s="795"/>
      <c r="B33" s="713" t="s">
        <v>198</v>
      </c>
      <c r="C33" s="726" t="s">
        <v>199</v>
      </c>
      <c r="D33" s="169"/>
      <c r="E33" s="170"/>
      <c r="F33" s="797" t="str">
        <f t="shared" si="0"/>
        <v/>
      </c>
      <c r="G33" s="171">
        <f>D33*'Wskazniki emisji paliw'!L$19</f>
        <v>0</v>
      </c>
      <c r="H33" s="169"/>
      <c r="I33" s="170"/>
      <c r="J33" s="797" t="str">
        <f t="shared" si="1"/>
        <v/>
      </c>
      <c r="K33" s="171">
        <f>H33*'Wskazniki emisji paliw'!L$18</f>
        <v>0</v>
      </c>
      <c r="L33" s="169"/>
      <c r="M33" s="170"/>
      <c r="N33" s="171">
        <f>L33*'Wskazniki emisji paliw'!$L$28</f>
        <v>0</v>
      </c>
      <c r="O33" s="169"/>
      <c r="P33" s="170"/>
      <c r="Q33" s="171">
        <f>O33*'Wskazniki emisji paliw'!M$29</f>
        <v>0</v>
      </c>
      <c r="R33" s="169"/>
      <c r="S33" s="170"/>
      <c r="T33" s="171">
        <f>R33*'Wskazniki emisji paliw'!L$21</f>
        <v>0</v>
      </c>
      <c r="U33" s="169"/>
      <c r="V33" s="170"/>
      <c r="W33" s="171">
        <f>U33*'Wskazniki emisji paliw'!L$19*(1-W$6)</f>
        <v>0</v>
      </c>
      <c r="X33" s="169"/>
      <c r="Y33" s="170"/>
      <c r="Z33" s="171">
        <f>X33*'Wskazniki emisji paliw'!L$18*(1-Z$6)</f>
        <v>0</v>
      </c>
      <c r="AA33" s="169"/>
      <c r="AB33" s="170"/>
      <c r="AC33" s="171">
        <f>AA33*(HLOOKUP(Ogolne!$D$6,'Wskazniki emisji elektrycznosc'!$B$8:$G$29,Ogolne!$E$7,TRUE))/1000</f>
        <v>0</v>
      </c>
      <c r="AD33" s="145"/>
      <c r="AE33" s="799" t="str">
        <f t="shared" si="6"/>
        <v>Międzygminny Kompleks Unieszkodliwiania Odpadów ProNatura</v>
      </c>
      <c r="AF33" s="799" t="str">
        <f t="shared" si="7"/>
        <v>MKUO</v>
      </c>
      <c r="AG33" s="172"/>
      <c r="AH33" s="172"/>
      <c r="AI33" s="170"/>
      <c r="AJ33" s="171">
        <f t="shared" si="9"/>
        <v>0</v>
      </c>
      <c r="AK33" s="173" t="str">
        <f t="shared" si="2"/>
        <v/>
      </c>
      <c r="AL33" s="174" t="str">
        <f t="shared" si="3"/>
        <v/>
      </c>
      <c r="AM33" s="175" t="str">
        <f t="shared" si="4"/>
        <v/>
      </c>
      <c r="AN33" s="176" t="str">
        <f t="shared" si="5"/>
        <v/>
      </c>
      <c r="AO33" s="177"/>
      <c r="AP33" s="718"/>
      <c r="AQ33" s="720"/>
      <c r="AR33" s="177"/>
      <c r="AS33" s="177"/>
      <c r="AT33" s="177"/>
      <c r="AU33" s="177"/>
      <c r="AV33" s="177"/>
      <c r="AW33" s="177"/>
      <c r="AX33" s="177"/>
      <c r="AY33" s="177"/>
      <c r="AZ33" s="177"/>
      <c r="BA33" s="177"/>
      <c r="BB33" s="177"/>
      <c r="BC33" s="177"/>
    </row>
    <row r="34" spans="1:55" s="178" customFormat="1">
      <c r="A34" s="795"/>
      <c r="B34" s="713" t="s">
        <v>268</v>
      </c>
      <c r="C34" s="726" t="s">
        <v>199</v>
      </c>
      <c r="D34" s="169"/>
      <c r="E34" s="170"/>
      <c r="F34" s="797" t="str">
        <f t="shared" si="0"/>
        <v/>
      </c>
      <c r="G34" s="171">
        <f>D34*'Wskazniki emisji paliw'!L$19</f>
        <v>0</v>
      </c>
      <c r="H34" s="169"/>
      <c r="I34" s="170"/>
      <c r="J34" s="797" t="str">
        <f t="shared" si="1"/>
        <v/>
      </c>
      <c r="K34" s="171">
        <f>H34*'Wskazniki emisji paliw'!L$18</f>
        <v>0</v>
      </c>
      <c r="L34" s="169"/>
      <c r="M34" s="170"/>
      <c r="N34" s="171">
        <f>L34*'Wskazniki emisji paliw'!$L$28</f>
        <v>0</v>
      </c>
      <c r="O34" s="169"/>
      <c r="P34" s="170"/>
      <c r="Q34" s="171">
        <f>O34*'Wskazniki emisji paliw'!M$29</f>
        <v>0</v>
      </c>
      <c r="R34" s="169"/>
      <c r="S34" s="170"/>
      <c r="T34" s="171">
        <f>R34*'Wskazniki emisji paliw'!L$21</f>
        <v>0</v>
      </c>
      <c r="U34" s="169"/>
      <c r="V34" s="170"/>
      <c r="W34" s="171">
        <f>U34*'Wskazniki emisji paliw'!L$19*(1-W$6)</f>
        <v>0</v>
      </c>
      <c r="X34" s="169"/>
      <c r="Y34" s="170"/>
      <c r="Z34" s="171">
        <f>X34*'Wskazniki emisji paliw'!L$18*(1-Z$6)</f>
        <v>0</v>
      </c>
      <c r="AA34" s="169"/>
      <c r="AB34" s="170"/>
      <c r="AC34" s="171">
        <f>AA34*(HLOOKUP(Ogolne!$D$6,'Wskazniki emisji elektrycznosc'!$B$8:$G$29,Ogolne!$E$7,TRUE))/1000</f>
        <v>0</v>
      </c>
      <c r="AD34" s="145"/>
      <c r="AE34" s="799" t="str">
        <f t="shared" si="6"/>
        <v>Międzygminny Kompleks Unieszkodliwiania Odpadów ProNatura - inne</v>
      </c>
      <c r="AF34" s="799" t="str">
        <f t="shared" si="7"/>
        <v>MKUO</v>
      </c>
      <c r="AG34" s="172"/>
      <c r="AH34" s="172"/>
      <c r="AI34" s="170"/>
      <c r="AJ34" s="171">
        <f t="shared" si="9"/>
        <v>0</v>
      </c>
      <c r="AK34" s="173" t="str">
        <f t="shared" si="2"/>
        <v/>
      </c>
      <c r="AL34" s="174" t="str">
        <f t="shared" si="3"/>
        <v/>
      </c>
      <c r="AM34" s="175" t="str">
        <f t="shared" si="4"/>
        <v/>
      </c>
      <c r="AN34" s="176" t="str">
        <f t="shared" si="5"/>
        <v/>
      </c>
      <c r="AO34" s="177"/>
      <c r="AP34" s="718"/>
      <c r="AQ34" s="720"/>
      <c r="AR34" s="177"/>
      <c r="AS34" s="177"/>
      <c r="AT34" s="177"/>
      <c r="AU34" s="177"/>
      <c r="AV34" s="177"/>
      <c r="AW34" s="177"/>
      <c r="AX34" s="177"/>
      <c r="AY34" s="177"/>
      <c r="AZ34" s="177"/>
      <c r="BA34" s="177"/>
      <c r="BB34" s="177"/>
      <c r="BC34" s="177"/>
    </row>
    <row r="35" spans="1:55" s="178" customFormat="1">
      <c r="A35" s="795"/>
      <c r="B35" s="713" t="s">
        <v>247</v>
      </c>
      <c r="C35" s="726" t="s">
        <v>194</v>
      </c>
      <c r="D35" s="169"/>
      <c r="E35" s="170"/>
      <c r="F35" s="797" t="str">
        <f t="shared" si="0"/>
        <v/>
      </c>
      <c r="G35" s="171">
        <f>D35*'Wskazniki emisji paliw'!L$19</f>
        <v>0</v>
      </c>
      <c r="H35" s="169"/>
      <c r="I35" s="170"/>
      <c r="J35" s="797" t="str">
        <f t="shared" si="1"/>
        <v/>
      </c>
      <c r="K35" s="171">
        <f>H35*'Wskazniki emisji paliw'!L$18</f>
        <v>0</v>
      </c>
      <c r="L35" s="169"/>
      <c r="M35" s="170"/>
      <c r="N35" s="171">
        <f>L35*'Wskazniki emisji paliw'!$L$28</f>
        <v>0</v>
      </c>
      <c r="O35" s="169"/>
      <c r="P35" s="170"/>
      <c r="Q35" s="171">
        <f>O35*'Wskazniki emisji paliw'!M$29</f>
        <v>0</v>
      </c>
      <c r="R35" s="169"/>
      <c r="S35" s="170"/>
      <c r="T35" s="171">
        <f>R35*'Wskazniki emisji paliw'!L$21</f>
        <v>0</v>
      </c>
      <c r="U35" s="169"/>
      <c r="V35" s="170"/>
      <c r="W35" s="171">
        <f>U35*'Wskazniki emisji paliw'!L$19*(1-W$6)</f>
        <v>0</v>
      </c>
      <c r="X35" s="169"/>
      <c r="Y35" s="170"/>
      <c r="Z35" s="171">
        <f>X35*'Wskazniki emisji paliw'!L$18*(1-Z$6)</f>
        <v>0</v>
      </c>
      <c r="AA35" s="169"/>
      <c r="AB35" s="170"/>
      <c r="AC35" s="171">
        <f>AA35*(HLOOKUP(Ogolne!$D$6,'Wskazniki emisji elektrycznosc'!$B$8:$G$29,Ogolne!$E$7,TRUE))/1000</f>
        <v>0</v>
      </c>
      <c r="AD35" s="145"/>
      <c r="AE35" s="799" t="str">
        <f t="shared" si="6"/>
        <v>Muzeum Okręgowe im. Leona Wyczółkowskiego w Bydgoszczy</v>
      </c>
      <c r="AF35" s="799" t="str">
        <f t="shared" si="7"/>
        <v>MOLW</v>
      </c>
      <c r="AG35" s="172">
        <v>10</v>
      </c>
      <c r="AH35" s="172">
        <v>1925</v>
      </c>
      <c r="AI35" s="170">
        <f>E35+I35+M35+P35+S35+V35+Y35+AB35</f>
        <v>0</v>
      </c>
      <c r="AJ35" s="171">
        <f t="shared" si="9"/>
        <v>0</v>
      </c>
      <c r="AK35" s="173">
        <f t="shared" si="2"/>
        <v>0</v>
      </c>
      <c r="AL35" s="174">
        <f t="shared" si="3"/>
        <v>0</v>
      </c>
      <c r="AM35" s="175">
        <f t="shared" si="4"/>
        <v>0</v>
      </c>
      <c r="AN35" s="176">
        <f t="shared" si="5"/>
        <v>0</v>
      </c>
      <c r="AO35" s="177"/>
      <c r="AP35" s="718"/>
      <c r="AQ35" s="720"/>
      <c r="AR35" s="177"/>
      <c r="AS35" s="177"/>
      <c r="AT35" s="177"/>
      <c r="AU35" s="177"/>
      <c r="AV35" s="177"/>
      <c r="AW35" s="177"/>
      <c r="AX35" s="177"/>
      <c r="AY35" s="177"/>
      <c r="AZ35" s="177"/>
      <c r="BA35" s="177"/>
      <c r="BB35" s="177"/>
      <c r="BC35" s="177"/>
    </row>
    <row r="36" spans="1:55" s="178" customFormat="1">
      <c r="A36" s="795"/>
      <c r="B36" s="732" t="s">
        <v>248</v>
      </c>
      <c r="C36" s="733" t="s">
        <v>197</v>
      </c>
      <c r="D36" s="739">
        <v>200</v>
      </c>
      <c r="E36" s="170">
        <v>838</v>
      </c>
      <c r="F36" s="797">
        <f t="shared" si="0"/>
        <v>4.1900000000000004</v>
      </c>
      <c r="G36" s="171">
        <f>D36*'Wskazniki emisji paliw'!L$19</f>
        <v>0.47972064000000003</v>
      </c>
      <c r="H36" s="169">
        <v>820</v>
      </c>
      <c r="I36" s="170">
        <v>3124.2</v>
      </c>
      <c r="J36" s="797">
        <f t="shared" si="1"/>
        <v>3.8099999999999996</v>
      </c>
      <c r="K36" s="171">
        <f>H36*'Wskazniki emisji paliw'!L$18</f>
        <v>2.1953242079159994</v>
      </c>
      <c r="L36" s="169"/>
      <c r="M36" s="170"/>
      <c r="N36" s="171">
        <f>L36*'Wskazniki emisji paliw'!$L$28</f>
        <v>0</v>
      </c>
      <c r="O36" s="169"/>
      <c r="P36" s="170"/>
      <c r="Q36" s="171">
        <f>O36*'Wskazniki emisji paliw'!M$29</f>
        <v>0</v>
      </c>
      <c r="R36" s="169"/>
      <c r="S36" s="170"/>
      <c r="T36" s="171">
        <f>R36*'Wskazniki emisji paliw'!L$21</f>
        <v>0</v>
      </c>
      <c r="U36" s="169"/>
      <c r="V36" s="170"/>
      <c r="W36" s="171">
        <f>U36*'Wskazniki emisji paliw'!L$19*(1-W$6)</f>
        <v>0</v>
      </c>
      <c r="X36" s="169"/>
      <c r="Y36" s="170"/>
      <c r="Z36" s="171">
        <f>X36*'Wskazniki emisji paliw'!L$18*(1-Z$6)</f>
        <v>0</v>
      </c>
      <c r="AA36" s="169"/>
      <c r="AB36" s="170"/>
      <c r="AC36" s="171">
        <f>AA36*(HLOOKUP(Ogolne!$D$6,'Wskazniki emisji elektrycznosc'!$B$8:$G$29,Ogolne!$E$7,TRUE))/1000</f>
        <v>0</v>
      </c>
      <c r="AD36" s="145"/>
      <c r="AE36" s="800" t="str">
        <f t="shared" si="6"/>
        <v>Port Lotniczy Bydgoszcz S.A.</v>
      </c>
      <c r="AF36" s="800" t="str">
        <f t="shared" si="7"/>
        <v>PLB</v>
      </c>
      <c r="AG36" s="172">
        <v>7</v>
      </c>
      <c r="AH36" s="172">
        <v>400</v>
      </c>
      <c r="AI36" s="170"/>
      <c r="AJ36" s="171">
        <f t="shared" si="9"/>
        <v>2.6750448479159994</v>
      </c>
      <c r="AK36" s="173">
        <f t="shared" si="2"/>
        <v>0</v>
      </c>
      <c r="AL36" s="174">
        <f t="shared" si="3"/>
        <v>0</v>
      </c>
      <c r="AM36" s="175">
        <f t="shared" si="4"/>
        <v>6.6876121197899981E-3</v>
      </c>
      <c r="AN36" s="176">
        <f t="shared" si="5"/>
        <v>0.38214926398799992</v>
      </c>
      <c r="AO36" s="177"/>
      <c r="AP36" s="718"/>
      <c r="AQ36" s="720"/>
      <c r="AR36" s="177"/>
      <c r="AS36" s="177"/>
      <c r="AT36" s="177"/>
      <c r="AU36" s="177"/>
      <c r="AV36" s="177"/>
      <c r="AW36" s="177"/>
      <c r="AX36" s="177"/>
      <c r="AY36" s="177"/>
      <c r="AZ36" s="177"/>
      <c r="BA36" s="177"/>
      <c r="BB36" s="177"/>
      <c r="BC36" s="177"/>
    </row>
    <row r="37" spans="1:55" s="178" customFormat="1">
      <c r="A37" s="795"/>
      <c r="B37" s="732" t="s">
        <v>278</v>
      </c>
      <c r="C37" s="733" t="s">
        <v>197</v>
      </c>
      <c r="D37" s="739">
        <v>69</v>
      </c>
      <c r="E37" s="170">
        <v>289</v>
      </c>
      <c r="F37" s="797">
        <f t="shared" si="0"/>
        <v>4.1884057971014492</v>
      </c>
      <c r="G37" s="171">
        <f>D37*'Wskazniki emisji paliw'!L$19</f>
        <v>0.1655036208</v>
      </c>
      <c r="H37" s="169">
        <v>183</v>
      </c>
      <c r="I37" s="170">
        <v>697.23</v>
      </c>
      <c r="J37" s="797">
        <f t="shared" si="1"/>
        <v>3.81</v>
      </c>
      <c r="K37" s="171">
        <f>H37*'Wskazniki emisji paliw'!L$18</f>
        <v>0.48993210981539986</v>
      </c>
      <c r="L37" s="169"/>
      <c r="M37" s="170"/>
      <c r="N37" s="171">
        <f>L37*'Wskazniki emisji paliw'!$L$28</f>
        <v>0</v>
      </c>
      <c r="O37" s="169"/>
      <c r="P37" s="170"/>
      <c r="Q37" s="171">
        <f>O37*'Wskazniki emisji paliw'!M$29</f>
        <v>0</v>
      </c>
      <c r="R37" s="169">
        <v>61</v>
      </c>
      <c r="S37" s="170">
        <v>135.41999999999999</v>
      </c>
      <c r="T37" s="171">
        <f>R37*'Wskazniki emisji paliw'!L$21</f>
        <v>0.10279646799999999</v>
      </c>
      <c r="U37" s="169"/>
      <c r="V37" s="170"/>
      <c r="W37" s="171">
        <f>U37*'Wskazniki emisji paliw'!L$19*(1-W$6)</f>
        <v>0</v>
      </c>
      <c r="X37" s="169"/>
      <c r="Y37" s="170"/>
      <c r="Z37" s="171">
        <f>X37*'Wskazniki emisji paliw'!L$18*(1-Z$6)</f>
        <v>0</v>
      </c>
      <c r="AA37" s="169"/>
      <c r="AB37" s="170"/>
      <c r="AC37" s="171">
        <f>AA37*(HLOOKUP(Ogolne!$D$6,'Wskazniki emisji elektrycznosc'!$B$8:$G$29,Ogolne!$E$7,TRUE))/1000</f>
        <v>0</v>
      </c>
      <c r="AD37" s="145"/>
      <c r="AE37" s="800" t="str">
        <f t="shared" si="6"/>
        <v>Port Lotniczy Bydgoszcz S.A. - inne</v>
      </c>
      <c r="AF37" s="800" t="str">
        <f t="shared" si="7"/>
        <v>PLB</v>
      </c>
      <c r="AG37" s="172">
        <v>3</v>
      </c>
      <c r="AH37" s="172"/>
      <c r="AI37" s="170">
        <f>E37+I37+M37+P37+S37+V37+Y37+AB37</f>
        <v>1121.6500000000001</v>
      </c>
      <c r="AJ37" s="171">
        <f t="shared" si="9"/>
        <v>0.75823219861539981</v>
      </c>
      <c r="AK37" s="173" t="str">
        <f t="shared" si="2"/>
        <v/>
      </c>
      <c r="AL37" s="174">
        <f t="shared" si="3"/>
        <v>373.88333333333338</v>
      </c>
      <c r="AM37" s="175" t="str">
        <f t="shared" si="4"/>
        <v/>
      </c>
      <c r="AN37" s="176">
        <f t="shared" si="5"/>
        <v>0.25274406620513329</v>
      </c>
      <c r="AO37" s="177"/>
      <c r="AP37" s="718"/>
      <c r="AQ37" s="720"/>
      <c r="AR37" s="177"/>
      <c r="AS37" s="177"/>
      <c r="AT37" s="177"/>
      <c r="AU37" s="177"/>
      <c r="AV37" s="177"/>
      <c r="AW37" s="177"/>
      <c r="AX37" s="177"/>
      <c r="AY37" s="177"/>
      <c r="AZ37" s="177"/>
      <c r="BA37" s="177"/>
      <c r="BB37" s="177"/>
      <c r="BC37" s="177"/>
    </row>
    <row r="38" spans="1:55" s="178" customFormat="1">
      <c r="A38" s="795"/>
      <c r="B38" s="713" t="s">
        <v>249</v>
      </c>
      <c r="C38" s="726" t="s">
        <v>200</v>
      </c>
      <c r="D38" s="169">
        <v>3947</v>
      </c>
      <c r="E38" s="170">
        <v>15476.25</v>
      </c>
      <c r="F38" s="797">
        <f t="shared" si="0"/>
        <v>3.9210159614897391</v>
      </c>
      <c r="G38" s="171">
        <f>D38*'Wskazniki emisji paliw'!L$19</f>
        <v>9.4672868304000009</v>
      </c>
      <c r="H38" s="169"/>
      <c r="I38" s="170"/>
      <c r="J38" s="797" t="str">
        <f t="shared" si="1"/>
        <v/>
      </c>
      <c r="K38" s="171">
        <f>H38*'Wskazniki emisji paliw'!L$18</f>
        <v>0</v>
      </c>
      <c r="L38" s="169"/>
      <c r="M38" s="170"/>
      <c r="N38" s="171">
        <f>L38*'Wskazniki emisji paliw'!$L$28</f>
        <v>0</v>
      </c>
      <c r="O38" s="169"/>
      <c r="P38" s="170"/>
      <c r="Q38" s="171">
        <f>O38*'Wskazniki emisji paliw'!M$29</f>
        <v>0</v>
      </c>
      <c r="R38" s="169"/>
      <c r="S38" s="170"/>
      <c r="T38" s="171">
        <f>R38*'Wskazniki emisji paliw'!L$21</f>
        <v>0</v>
      </c>
      <c r="U38" s="169"/>
      <c r="V38" s="170"/>
      <c r="W38" s="171">
        <f>U38*'Wskazniki emisji paliw'!L$19*(1-W$6)</f>
        <v>0</v>
      </c>
      <c r="X38" s="169"/>
      <c r="Y38" s="170"/>
      <c r="Z38" s="171">
        <f>X38*'Wskazniki emisji paliw'!L$18*(1-Z$6)</f>
        <v>0</v>
      </c>
      <c r="AA38" s="169"/>
      <c r="AB38" s="170"/>
      <c r="AC38" s="171">
        <f>AA38*(HLOOKUP(Ogolne!$D$6,'Wskazniki emisji elektrycznosc'!$B$8:$G$29,Ogolne!$E$7,TRUE))/1000</f>
        <v>0</v>
      </c>
      <c r="AD38" s="145"/>
      <c r="AE38" s="799" t="str">
        <f t="shared" si="6"/>
        <v>Powiatowy Urząd Pracy w Bydgoszczy</v>
      </c>
      <c r="AF38" s="799" t="str">
        <f t="shared" si="7"/>
        <v>PUP</v>
      </c>
      <c r="AG38" s="172"/>
      <c r="AH38" s="172"/>
      <c r="AI38" s="170"/>
      <c r="AJ38" s="171">
        <f t="shared" si="9"/>
        <v>9.4672868304000009</v>
      </c>
      <c r="AK38" s="173" t="str">
        <f t="shared" si="2"/>
        <v/>
      </c>
      <c r="AL38" s="174" t="str">
        <f t="shared" si="3"/>
        <v/>
      </c>
      <c r="AM38" s="175" t="str">
        <f t="shared" si="4"/>
        <v/>
      </c>
      <c r="AN38" s="176" t="str">
        <f t="shared" si="5"/>
        <v/>
      </c>
      <c r="AO38" s="177"/>
      <c r="AP38" s="718"/>
      <c r="AQ38" s="720"/>
      <c r="AR38" s="177"/>
      <c r="AS38" s="177"/>
      <c r="AT38" s="177"/>
      <c r="AU38" s="177"/>
      <c r="AV38" s="177"/>
      <c r="AW38" s="177"/>
      <c r="AX38" s="177"/>
      <c r="AY38" s="177"/>
      <c r="AZ38" s="177"/>
      <c r="BA38" s="177"/>
      <c r="BB38" s="177"/>
      <c r="BC38" s="177"/>
    </row>
    <row r="39" spans="1:55" s="178" customFormat="1">
      <c r="A39" s="795"/>
      <c r="B39" s="713" t="s">
        <v>250</v>
      </c>
      <c r="C39" s="726" t="s">
        <v>201</v>
      </c>
      <c r="D39" s="169">
        <v>2576.89</v>
      </c>
      <c r="E39" s="170">
        <v>10263.049999999999</v>
      </c>
      <c r="F39" s="797">
        <f t="shared" si="0"/>
        <v>3.982727240976526</v>
      </c>
      <c r="G39" s="171">
        <f>D39*'Wskazniki emisji paliw'!L$19</f>
        <v>6.1809366000479997</v>
      </c>
      <c r="H39" s="169">
        <v>1791.75</v>
      </c>
      <c r="I39" s="170">
        <v>6464.93</v>
      </c>
      <c r="J39" s="797">
        <f t="shared" si="1"/>
        <v>3.6081652016185295</v>
      </c>
      <c r="K39" s="171">
        <f>H39*'Wskazniki emisji paliw'!L$18</f>
        <v>4.7969172555286486</v>
      </c>
      <c r="L39" s="169"/>
      <c r="M39" s="170"/>
      <c r="N39" s="171">
        <f>L39*'Wskazniki emisji paliw'!$L$28</f>
        <v>0</v>
      </c>
      <c r="O39" s="169"/>
      <c r="P39" s="170"/>
      <c r="Q39" s="171">
        <f>O39*'Wskazniki emisji paliw'!M$29</f>
        <v>0</v>
      </c>
      <c r="R39" s="169"/>
      <c r="S39" s="170"/>
      <c r="T39" s="171">
        <f>R39*'Wskazniki emisji paliw'!L$21</f>
        <v>0</v>
      </c>
      <c r="U39" s="169"/>
      <c r="V39" s="170"/>
      <c r="W39" s="171">
        <f>U39*'Wskazniki emisji paliw'!L$19*(1-W$6)</f>
        <v>0</v>
      </c>
      <c r="X39" s="169"/>
      <c r="Y39" s="170"/>
      <c r="Z39" s="171">
        <f>X39*'Wskazniki emisji paliw'!L$18*(1-Z$6)</f>
        <v>0</v>
      </c>
      <c r="AA39" s="169"/>
      <c r="AB39" s="170"/>
      <c r="AC39" s="171">
        <f>AA39*(HLOOKUP(Ogolne!$D$6,'Wskazniki emisji elektrycznosc'!$B$8:$G$29,Ogolne!$E$7,TRUE))/1000</f>
        <v>0</v>
      </c>
      <c r="AD39" s="145"/>
      <c r="AE39" s="799" t="str">
        <f t="shared" si="6"/>
        <v>Schronisko dla Zwierząt w Bydgoszczy</v>
      </c>
      <c r="AF39" s="799" t="str">
        <f t="shared" si="7"/>
        <v>SZ</v>
      </c>
      <c r="AG39" s="172">
        <v>2</v>
      </c>
      <c r="AH39" s="172">
        <v>47892</v>
      </c>
      <c r="AI39" s="170">
        <f t="shared" ref="AI39:AI48" si="11">E39+I39+M39+P39+S39+V39+Y39+AB39</f>
        <v>16727.98</v>
      </c>
      <c r="AJ39" s="171">
        <f t="shared" si="9"/>
        <v>10.977853855576647</v>
      </c>
      <c r="AK39" s="173">
        <f t="shared" si="2"/>
        <v>0.34928547565355383</v>
      </c>
      <c r="AL39" s="174">
        <f t="shared" si="3"/>
        <v>8363.99</v>
      </c>
      <c r="AM39" s="175">
        <f t="shared" si="4"/>
        <v>2.2922103598882167E-4</v>
      </c>
      <c r="AN39" s="176">
        <f t="shared" si="5"/>
        <v>5.4889269277883237</v>
      </c>
      <c r="AO39" s="177"/>
      <c r="AP39" s="718"/>
      <c r="AQ39" s="720"/>
      <c r="AR39" s="177"/>
      <c r="AS39" s="177"/>
      <c r="AT39" s="177"/>
      <c r="AU39" s="177"/>
      <c r="AV39" s="177"/>
      <c r="AW39" s="177"/>
      <c r="AX39" s="177"/>
      <c r="AY39" s="177"/>
      <c r="AZ39" s="177"/>
      <c r="BA39" s="177"/>
      <c r="BB39" s="177"/>
      <c r="BC39" s="177"/>
    </row>
    <row r="40" spans="1:55" s="178" customFormat="1">
      <c r="A40" s="795"/>
      <c r="B40" s="732" t="s">
        <v>267</v>
      </c>
      <c r="C40" s="733" t="s">
        <v>202</v>
      </c>
      <c r="D40" s="169"/>
      <c r="E40" s="170"/>
      <c r="F40" s="797" t="str">
        <f t="shared" si="0"/>
        <v/>
      </c>
      <c r="G40" s="171">
        <f>D40*'Wskazniki emisji paliw'!L$19</f>
        <v>0</v>
      </c>
      <c r="H40" s="169"/>
      <c r="I40" s="170"/>
      <c r="J40" s="797" t="str">
        <f t="shared" si="1"/>
        <v/>
      </c>
      <c r="K40" s="171">
        <f>H40*'Wskazniki emisji paliw'!L$18</f>
        <v>0</v>
      </c>
      <c r="L40" s="169"/>
      <c r="M40" s="170"/>
      <c r="N40" s="171">
        <f>L40*'Wskazniki emisji paliw'!$L$28</f>
        <v>0</v>
      </c>
      <c r="O40" s="169"/>
      <c r="P40" s="170"/>
      <c r="Q40" s="171">
        <f>O40*'Wskazniki emisji paliw'!M$29</f>
        <v>0</v>
      </c>
      <c r="R40" s="169"/>
      <c r="S40" s="170"/>
      <c r="T40" s="171">
        <f>R40*'Wskazniki emisji paliw'!L$21</f>
        <v>0</v>
      </c>
      <c r="U40" s="169"/>
      <c r="V40" s="170"/>
      <c r="W40" s="171">
        <f>U40*'Wskazniki emisji paliw'!L$19*(1-W$6)</f>
        <v>0</v>
      </c>
      <c r="X40" s="169"/>
      <c r="Y40" s="170"/>
      <c r="Z40" s="171">
        <f>X40*'Wskazniki emisji paliw'!L$18*(1-Z$6)</f>
        <v>0</v>
      </c>
      <c r="AA40" s="169"/>
      <c r="AB40" s="170"/>
      <c r="AC40" s="171">
        <f>AA40*(HLOOKUP(Ogolne!$D$6,'Wskazniki emisji elektrycznosc'!$B$8:$G$29,Ogolne!$E$7,TRUE))/1000</f>
        <v>0</v>
      </c>
      <c r="AD40" s="145"/>
      <c r="AE40" s="800" t="str">
        <f t="shared" si="6"/>
        <v>Spółka Wodna Kapuścińska w Bydgoszczy</v>
      </c>
      <c r="AF40" s="800" t="str">
        <f t="shared" si="7"/>
        <v>SWK</v>
      </c>
      <c r="AG40" s="172">
        <v>3</v>
      </c>
      <c r="AH40" s="172">
        <v>36808</v>
      </c>
      <c r="AI40" s="170">
        <f t="shared" si="11"/>
        <v>0</v>
      </c>
      <c r="AJ40" s="171">
        <f t="shared" si="9"/>
        <v>0</v>
      </c>
      <c r="AK40" s="173">
        <f t="shared" si="2"/>
        <v>0</v>
      </c>
      <c r="AL40" s="174">
        <f t="shared" si="3"/>
        <v>0</v>
      </c>
      <c r="AM40" s="175">
        <f t="shared" si="4"/>
        <v>0</v>
      </c>
      <c r="AN40" s="176">
        <f t="shared" si="5"/>
        <v>0</v>
      </c>
      <c r="AO40" s="177"/>
      <c r="AP40" s="718"/>
      <c r="AQ40" s="720"/>
      <c r="AR40" s="177"/>
      <c r="AS40" s="177"/>
      <c r="AT40" s="177"/>
      <c r="AU40" s="177"/>
      <c r="AV40" s="177"/>
      <c r="AW40" s="177"/>
      <c r="AX40" s="177"/>
      <c r="AY40" s="177"/>
      <c r="AZ40" s="177"/>
      <c r="BA40" s="177"/>
      <c r="BB40" s="177"/>
      <c r="BC40" s="177"/>
    </row>
    <row r="41" spans="1:55" s="178" customFormat="1">
      <c r="A41" s="795"/>
      <c r="B41" s="713" t="s">
        <v>251</v>
      </c>
      <c r="C41" s="726" t="s">
        <v>203</v>
      </c>
      <c r="D41" s="169">
        <v>6638.08</v>
      </c>
      <c r="E41" s="170">
        <v>20038.39</v>
      </c>
      <c r="F41" s="797">
        <f t="shared" si="0"/>
        <v>3.0187026971654456</v>
      </c>
      <c r="G41" s="171">
        <f>D41*'Wskazniki emisji paliw'!L$19</f>
        <v>15.922119929856001</v>
      </c>
      <c r="H41" s="169">
        <v>24061.7</v>
      </c>
      <c r="I41" s="170">
        <v>47036.73</v>
      </c>
      <c r="J41" s="797">
        <f t="shared" si="1"/>
        <v>1.9548381868280298</v>
      </c>
      <c r="K41" s="171">
        <f>H41*'Wskazniki emisji paliw'!L$18</f>
        <v>64.418576211722439</v>
      </c>
      <c r="L41" s="169"/>
      <c r="M41" s="170"/>
      <c r="N41" s="171">
        <f>L41*'Wskazniki emisji paliw'!$L$28</f>
        <v>0</v>
      </c>
      <c r="O41" s="169"/>
      <c r="P41" s="170"/>
      <c r="Q41" s="171">
        <f>O41*'Wskazniki emisji paliw'!M$29</f>
        <v>0</v>
      </c>
      <c r="R41" s="169">
        <v>64878.8</v>
      </c>
      <c r="S41" s="170">
        <v>98610.65</v>
      </c>
      <c r="T41" s="171">
        <f>R41*'Wskazniki emisji paliw'!L$21</f>
        <v>109.33297521439999</v>
      </c>
      <c r="U41" s="169"/>
      <c r="V41" s="170"/>
      <c r="W41" s="171">
        <f>U41*'Wskazniki emisji paliw'!L$19*(1-W$6)</f>
        <v>0</v>
      </c>
      <c r="X41" s="169"/>
      <c r="Y41" s="170"/>
      <c r="Z41" s="171">
        <f>X41*'Wskazniki emisji paliw'!L$18*(1-Z$6)</f>
        <v>0</v>
      </c>
      <c r="AA41" s="169"/>
      <c r="AB41" s="170"/>
      <c r="AC41" s="171">
        <f>AA41*(HLOOKUP(Ogolne!$D$6,'Wskazniki emisji elektrycznosc'!$B$8:$G$29,Ogolne!$E$7,TRUE))/1000</f>
        <v>0</v>
      </c>
      <c r="AD41" s="145"/>
      <c r="AE41" s="799" t="str">
        <f t="shared" si="6"/>
        <v>Straż Miejska w Bydgoszczy</v>
      </c>
      <c r="AF41" s="799" t="str">
        <f t="shared" si="7"/>
        <v>SM</v>
      </c>
      <c r="AG41" s="172"/>
      <c r="AH41" s="172"/>
      <c r="AI41" s="170">
        <f t="shared" si="11"/>
        <v>165685.76999999999</v>
      </c>
      <c r="AJ41" s="171">
        <f t="shared" si="9"/>
        <v>189.67367135597843</v>
      </c>
      <c r="AK41" s="173" t="str">
        <f t="shared" si="2"/>
        <v/>
      </c>
      <c r="AL41" s="174" t="str">
        <f t="shared" si="3"/>
        <v/>
      </c>
      <c r="AM41" s="175" t="str">
        <f t="shared" si="4"/>
        <v/>
      </c>
      <c r="AN41" s="176" t="str">
        <f t="shared" si="5"/>
        <v/>
      </c>
      <c r="AO41" s="177"/>
      <c r="AP41" s="718"/>
      <c r="AQ41" s="720"/>
      <c r="AR41" s="177"/>
      <c r="AS41" s="177"/>
      <c r="AT41" s="177"/>
      <c r="AU41" s="177"/>
      <c r="AV41" s="177"/>
      <c r="AW41" s="177"/>
      <c r="AX41" s="177"/>
      <c r="AY41" s="177"/>
      <c r="AZ41" s="177"/>
      <c r="BA41" s="177"/>
      <c r="BB41" s="177"/>
      <c r="BC41" s="177"/>
    </row>
    <row r="42" spans="1:55" s="178" customFormat="1">
      <c r="A42" s="795"/>
      <c r="B42" s="713" t="s">
        <v>252</v>
      </c>
      <c r="C42" s="726" t="s">
        <v>204</v>
      </c>
      <c r="D42" s="169"/>
      <c r="E42" s="170"/>
      <c r="F42" s="797" t="str">
        <f t="shared" ref="F42:F73" si="12">IFERROR(E42/D42,"")</f>
        <v/>
      </c>
      <c r="G42" s="171">
        <f>D42*'Wskazniki emisji paliw'!L$19</f>
        <v>0</v>
      </c>
      <c r="H42" s="169">
        <v>1135.0909999999999</v>
      </c>
      <c r="I42" s="170">
        <v>3995.26</v>
      </c>
      <c r="J42" s="797">
        <f t="shared" ref="J42:J73" si="13">IFERROR(I42/H42,"")</f>
        <v>3.5197706615592939</v>
      </c>
      <c r="K42" s="171">
        <f>H42*'Wskazniki emisji paliw'!L$18</f>
        <v>3.0388935981555845</v>
      </c>
      <c r="L42" s="169"/>
      <c r="M42" s="170"/>
      <c r="N42" s="171">
        <f>L42*'Wskazniki emisji paliw'!$L$28</f>
        <v>0</v>
      </c>
      <c r="O42" s="169"/>
      <c r="P42" s="170"/>
      <c r="Q42" s="171">
        <f>O42*'Wskazniki emisji paliw'!M$29</f>
        <v>0</v>
      </c>
      <c r="R42" s="169"/>
      <c r="S42" s="170"/>
      <c r="T42" s="171">
        <f>R42*'Wskazniki emisji paliw'!L$21</f>
        <v>0</v>
      </c>
      <c r="U42" s="169"/>
      <c r="V42" s="170"/>
      <c r="W42" s="171">
        <f>U42*'Wskazniki emisji paliw'!L$19*(1-W$6)</f>
        <v>0</v>
      </c>
      <c r="X42" s="169"/>
      <c r="Y42" s="170"/>
      <c r="Z42" s="171">
        <f>X42*'Wskazniki emisji paliw'!L$18*(1-Z$6)</f>
        <v>0</v>
      </c>
      <c r="AA42" s="169"/>
      <c r="AB42" s="170"/>
      <c r="AC42" s="171">
        <f>AA42*(HLOOKUP(Ogolne!$D$6,'Wskazniki emisji elektrycznosc'!$B$8:$G$29,Ogolne!$E$7,TRUE))/1000</f>
        <v>0</v>
      </c>
      <c r="AD42" s="145"/>
      <c r="AE42" s="799" t="str">
        <f t="shared" si="6"/>
        <v>Teatr Polski im. Hieronima Konieczki w Bydgoszczy</v>
      </c>
      <c r="AF42" s="799" t="str">
        <f t="shared" si="7"/>
        <v>TP</v>
      </c>
      <c r="AG42" s="172">
        <v>20</v>
      </c>
      <c r="AH42" s="172">
        <v>700000</v>
      </c>
      <c r="AI42" s="170">
        <f t="shared" si="11"/>
        <v>3995.26</v>
      </c>
      <c r="AJ42" s="171">
        <f t="shared" si="9"/>
        <v>3.0388935981555845</v>
      </c>
      <c r="AK42" s="173">
        <f t="shared" ref="AK42:AK69" si="14">IFERROR(AI42/AH42,"")</f>
        <v>5.7075142857142859E-3</v>
      </c>
      <c r="AL42" s="174">
        <f t="shared" ref="AL42:AL69" si="15">IFERROR(AI42/AG42,"")</f>
        <v>199.76300000000001</v>
      </c>
      <c r="AM42" s="175">
        <f t="shared" ref="AM42:AM69" si="16">IFERROR(AJ42/AH42,"")</f>
        <v>4.3412765687936919E-6</v>
      </c>
      <c r="AN42" s="176">
        <f t="shared" ref="AN42:AN69" si="17">IFERROR(AJ42/AG42,"")</f>
        <v>0.15194467990777921</v>
      </c>
      <c r="AO42" s="177"/>
      <c r="AP42" s="718"/>
      <c r="AQ42" s="720"/>
      <c r="AR42" s="177"/>
      <c r="AS42" s="177"/>
      <c r="AT42" s="177"/>
      <c r="AU42" s="177"/>
      <c r="AV42" s="177"/>
      <c r="AW42" s="177"/>
      <c r="AX42" s="177"/>
      <c r="AY42" s="177"/>
      <c r="AZ42" s="177"/>
      <c r="BA42" s="177"/>
      <c r="BB42" s="177"/>
      <c r="BC42" s="177"/>
    </row>
    <row r="43" spans="1:55" s="178" customFormat="1">
      <c r="A43" s="795"/>
      <c r="B43" s="713" t="s">
        <v>253</v>
      </c>
      <c r="C43" s="726" t="s">
        <v>205</v>
      </c>
      <c r="D43" s="169"/>
      <c r="E43" s="170"/>
      <c r="F43" s="797" t="str">
        <f t="shared" si="12"/>
        <v/>
      </c>
      <c r="G43" s="171">
        <f>D43*'Wskazniki emisji paliw'!L$19</f>
        <v>0</v>
      </c>
      <c r="H43" s="169"/>
      <c r="I43" s="170"/>
      <c r="J43" s="797" t="str">
        <f t="shared" si="13"/>
        <v/>
      </c>
      <c r="K43" s="171">
        <f>H43*'Wskazniki emisji paliw'!L$18</f>
        <v>0</v>
      </c>
      <c r="L43" s="169"/>
      <c r="M43" s="170"/>
      <c r="N43" s="171">
        <f>L43*'Wskazniki emisji paliw'!$L$28</f>
        <v>0</v>
      </c>
      <c r="O43" s="169"/>
      <c r="P43" s="170"/>
      <c r="Q43" s="171">
        <f>O43*'Wskazniki emisji paliw'!M$29</f>
        <v>0</v>
      </c>
      <c r="R43" s="169"/>
      <c r="S43" s="170"/>
      <c r="T43" s="171">
        <f>R43*'Wskazniki emisji paliw'!L$21</f>
        <v>0</v>
      </c>
      <c r="U43" s="169"/>
      <c r="V43" s="170"/>
      <c r="W43" s="171">
        <f>U43*'Wskazniki emisji paliw'!L$19*(1-W$6)</f>
        <v>0</v>
      </c>
      <c r="X43" s="169"/>
      <c r="Y43" s="170"/>
      <c r="Z43" s="171">
        <f>X43*'Wskazniki emisji paliw'!L$18*(1-Z$6)</f>
        <v>0</v>
      </c>
      <c r="AA43" s="169"/>
      <c r="AB43" s="170"/>
      <c r="AC43" s="171">
        <f>AA43*(HLOOKUP(Ogolne!$D$6,'Wskazniki emisji elektrycznosc'!$B$8:$G$29,Ogolne!$E$7,TRUE))/1000</f>
        <v>0</v>
      </c>
      <c r="AD43" s="145"/>
      <c r="AE43" s="799" t="str">
        <f t="shared" si="6"/>
        <v>Tramwaj Fordon Sp. z o.o.</v>
      </c>
      <c r="AF43" s="799" t="str">
        <f t="shared" si="7"/>
        <v>TF</v>
      </c>
      <c r="AG43" s="172"/>
      <c r="AH43" s="172"/>
      <c r="AI43" s="170">
        <f t="shared" si="11"/>
        <v>0</v>
      </c>
      <c r="AJ43" s="171">
        <f t="shared" si="9"/>
        <v>0</v>
      </c>
      <c r="AK43" s="173" t="str">
        <f t="shared" si="14"/>
        <v/>
      </c>
      <c r="AL43" s="174" t="str">
        <f t="shared" si="15"/>
        <v/>
      </c>
      <c r="AM43" s="175" t="str">
        <f t="shared" si="16"/>
        <v/>
      </c>
      <c r="AN43" s="176" t="str">
        <f t="shared" si="17"/>
        <v/>
      </c>
      <c r="AO43" s="177"/>
      <c r="AP43" s="718"/>
      <c r="AQ43" s="720"/>
      <c r="AR43" s="177"/>
      <c r="AS43" s="177"/>
      <c r="AT43" s="177"/>
      <c r="AU43" s="177"/>
      <c r="AV43" s="177"/>
      <c r="AW43" s="177"/>
      <c r="AX43" s="177"/>
      <c r="AY43" s="177"/>
      <c r="AZ43" s="177"/>
      <c r="BA43" s="177"/>
      <c r="BB43" s="177"/>
      <c r="BC43" s="177"/>
    </row>
    <row r="44" spans="1:55" s="178" customFormat="1">
      <c r="A44" s="795"/>
      <c r="B44" s="713" t="s">
        <v>254</v>
      </c>
      <c r="C44" s="726" t="s">
        <v>219</v>
      </c>
      <c r="D44" s="169"/>
      <c r="E44" s="170"/>
      <c r="F44" s="797" t="str">
        <f t="shared" si="12"/>
        <v/>
      </c>
      <c r="G44" s="171">
        <f>D44*'Wskazniki emisji paliw'!L$19</f>
        <v>0</v>
      </c>
      <c r="H44" s="169">
        <v>1020</v>
      </c>
      <c r="I44" s="170">
        <v>3276</v>
      </c>
      <c r="J44" s="797">
        <f t="shared" si="13"/>
        <v>3.2117647058823531</v>
      </c>
      <c r="K44" s="171">
        <f>H44*'Wskazniki emisji paliw'!L$18</f>
        <v>2.730769136675999</v>
      </c>
      <c r="L44" s="169"/>
      <c r="M44" s="170"/>
      <c r="N44" s="171">
        <f>L44*'Wskazniki emisji paliw'!$L$28</f>
        <v>0</v>
      </c>
      <c r="O44" s="169"/>
      <c r="P44" s="170"/>
      <c r="Q44" s="171">
        <f>O44*'Wskazniki emisji paliw'!M$29</f>
        <v>0</v>
      </c>
      <c r="R44" s="169"/>
      <c r="S44" s="170"/>
      <c r="T44" s="171">
        <f>R44*'Wskazniki emisji paliw'!L$21</f>
        <v>0</v>
      </c>
      <c r="U44" s="169"/>
      <c r="V44" s="170"/>
      <c r="W44" s="171">
        <f>U44*'Wskazniki emisji paliw'!L$19*(1-W$6)</f>
        <v>0</v>
      </c>
      <c r="X44" s="169"/>
      <c r="Y44" s="170"/>
      <c r="Z44" s="171">
        <f>X44*'Wskazniki emisji paliw'!L$18*(1-Z$6)</f>
        <v>0</v>
      </c>
      <c r="AA44" s="169"/>
      <c r="AB44" s="170"/>
      <c r="AC44" s="171">
        <f>AA44*(HLOOKUP(Ogolne!$D$6,'Wskazniki emisji elektrycznosc'!$B$8:$G$29,Ogolne!$E$7,TRUE))/1000</f>
        <v>0</v>
      </c>
      <c r="AD44" s="145"/>
      <c r="AE44" s="799" t="str">
        <f t="shared" si="6"/>
        <v>Wielospecjalistyczny Szpital Miejski im. dr Emila Warmińskiego SPZOZ w Bydgoszczy</v>
      </c>
      <c r="AF44" s="799" t="str">
        <f t="shared" si="7"/>
        <v>WSM</v>
      </c>
      <c r="AG44" s="172">
        <v>1</v>
      </c>
      <c r="AH44" s="172">
        <v>7846.15</v>
      </c>
      <c r="AI44" s="170">
        <f t="shared" si="11"/>
        <v>3276</v>
      </c>
      <c r="AJ44" s="171">
        <f t="shared" si="9"/>
        <v>2.730769136675999</v>
      </c>
      <c r="AK44" s="173">
        <f t="shared" si="14"/>
        <v>0.41752961643608649</v>
      </c>
      <c r="AL44" s="174">
        <f t="shared" si="15"/>
        <v>3276</v>
      </c>
      <c r="AM44" s="175">
        <f t="shared" si="16"/>
        <v>3.4803937430153629E-4</v>
      </c>
      <c r="AN44" s="176">
        <f t="shared" si="17"/>
        <v>2.730769136675999</v>
      </c>
      <c r="AO44" s="177"/>
      <c r="AP44" s="718"/>
      <c r="AQ44" s="720"/>
      <c r="AR44" s="177"/>
      <c r="AS44" s="177"/>
      <c r="AT44" s="177"/>
      <c r="AU44" s="177"/>
      <c r="AV44" s="177"/>
      <c r="AW44" s="177"/>
      <c r="AX44" s="177"/>
      <c r="AY44" s="177"/>
      <c r="AZ44" s="177"/>
      <c r="BA44" s="177"/>
      <c r="BB44" s="177"/>
      <c r="BC44" s="177"/>
    </row>
    <row r="45" spans="1:55" s="178" customFormat="1">
      <c r="A45" s="795"/>
      <c r="B45" s="772" t="s">
        <v>300</v>
      </c>
      <c r="C45" s="726" t="s">
        <v>301</v>
      </c>
      <c r="D45" s="169"/>
      <c r="E45" s="170"/>
      <c r="F45" s="797" t="str">
        <f t="shared" si="12"/>
        <v/>
      </c>
      <c r="G45" s="171">
        <f>D45*'Wskazniki emisji paliw'!L$19</f>
        <v>0</v>
      </c>
      <c r="H45" s="169"/>
      <c r="I45" s="170"/>
      <c r="J45" s="797" t="str">
        <f t="shared" si="13"/>
        <v/>
      </c>
      <c r="K45" s="171">
        <f>H45*'Wskazniki emisji paliw'!L$18</f>
        <v>0</v>
      </c>
      <c r="L45" s="169"/>
      <c r="M45" s="170"/>
      <c r="N45" s="171">
        <f>L45*'Wskazniki emisji paliw'!$L$28</f>
        <v>0</v>
      </c>
      <c r="O45" s="169"/>
      <c r="P45" s="170"/>
      <c r="Q45" s="171">
        <f>O45*'Wskazniki emisji paliw'!M$29</f>
        <v>0</v>
      </c>
      <c r="R45" s="169"/>
      <c r="S45" s="170"/>
      <c r="T45" s="171">
        <f>R45*'Wskazniki emisji paliw'!L$21</f>
        <v>0</v>
      </c>
      <c r="U45" s="169"/>
      <c r="V45" s="170"/>
      <c r="W45" s="171">
        <f>U45*'Wskazniki emisji paliw'!L$19*(1-W$6)</f>
        <v>0</v>
      </c>
      <c r="X45" s="169"/>
      <c r="Y45" s="170"/>
      <c r="Z45" s="171">
        <f>X45*'Wskazniki emisji paliw'!L$18*(1-Z$6)</f>
        <v>0</v>
      </c>
      <c r="AA45" s="169"/>
      <c r="AB45" s="170"/>
      <c r="AC45" s="171">
        <f>AA45*(HLOOKUP(Ogolne!$D$6,'Wskazniki emisji elektrycznosc'!$B$8:$G$29,Ogolne!$E$7,TRUE))/1000</f>
        <v>0</v>
      </c>
      <c r="AD45" s="145"/>
      <c r="AE45" s="799" t="str">
        <f t="shared" si="6"/>
        <v xml:space="preserve">Cywilno Wojskowy Związek Sportowy Zawisza Bydgoszcz </v>
      </c>
      <c r="AF45" s="799" t="str">
        <f t="shared" si="7"/>
        <v>CWZS</v>
      </c>
      <c r="AG45" s="172"/>
      <c r="AH45" s="172"/>
      <c r="AI45" s="170">
        <f t="shared" si="11"/>
        <v>0</v>
      </c>
      <c r="AJ45" s="171">
        <f t="shared" si="9"/>
        <v>0</v>
      </c>
      <c r="AK45" s="173" t="str">
        <f t="shared" si="14"/>
        <v/>
      </c>
      <c r="AL45" s="174" t="str">
        <f t="shared" si="15"/>
        <v/>
      </c>
      <c r="AM45" s="175" t="str">
        <f t="shared" si="16"/>
        <v/>
      </c>
      <c r="AN45" s="176" t="str">
        <f t="shared" si="17"/>
        <v/>
      </c>
      <c r="AO45" s="177"/>
      <c r="AP45" s="718"/>
      <c r="AQ45" s="720"/>
      <c r="AR45" s="177"/>
      <c r="AS45" s="177"/>
      <c r="AT45" s="177"/>
      <c r="AU45" s="177"/>
      <c r="AV45" s="177"/>
      <c r="AW45" s="177"/>
      <c r="AX45" s="177"/>
      <c r="AY45" s="177"/>
      <c r="AZ45" s="177"/>
      <c r="BA45" s="177"/>
      <c r="BB45" s="177"/>
      <c r="BC45" s="177"/>
    </row>
    <row r="46" spans="1:55" s="178" customFormat="1">
      <c r="A46" s="795"/>
      <c r="B46" s="713" t="s">
        <v>238</v>
      </c>
      <c r="C46" s="726" t="s">
        <v>184</v>
      </c>
      <c r="D46" s="169">
        <v>4293</v>
      </c>
      <c r="E46" s="170">
        <v>18494.11</v>
      </c>
      <c r="F46" s="797">
        <f t="shared" si="12"/>
        <v>4.3079687863964597</v>
      </c>
      <c r="G46" s="171">
        <f>D46*'Wskazniki emisji paliw'!L$19</f>
        <v>10.2972035376</v>
      </c>
      <c r="H46" s="169"/>
      <c r="I46" s="170"/>
      <c r="J46" s="797" t="str">
        <f t="shared" si="13"/>
        <v/>
      </c>
      <c r="K46" s="171">
        <f>H46*'Wskazniki emisji paliw'!L$18</f>
        <v>0</v>
      </c>
      <c r="L46" s="169"/>
      <c r="M46" s="170"/>
      <c r="N46" s="171">
        <f>L46*'Wskazniki emisji paliw'!$L$28</f>
        <v>0</v>
      </c>
      <c r="O46" s="169"/>
      <c r="P46" s="170"/>
      <c r="Q46" s="171">
        <f>O46*'Wskazniki emisji paliw'!M$29</f>
        <v>0</v>
      </c>
      <c r="R46" s="169"/>
      <c r="S46" s="170"/>
      <c r="T46" s="171">
        <f>R46*'Wskazniki emisji paliw'!L$21</f>
        <v>0</v>
      </c>
      <c r="U46" s="169"/>
      <c r="V46" s="170"/>
      <c r="W46" s="171">
        <f>U46*'Wskazniki emisji paliw'!L$19*(1-W$6)</f>
        <v>0</v>
      </c>
      <c r="X46" s="169"/>
      <c r="Y46" s="170"/>
      <c r="Z46" s="171">
        <f>X46*'Wskazniki emisji paliw'!L$18*(1-Z$6)</f>
        <v>0</v>
      </c>
      <c r="AA46" s="169"/>
      <c r="AB46" s="170"/>
      <c r="AC46" s="171">
        <f>AA46*(HLOOKUP(Ogolne!$D$6,'Wskazniki emisji elektrycznosc'!$B$8:$G$29,Ogolne!$E$7,TRUE))/1000</f>
        <v>0</v>
      </c>
      <c r="AD46" s="145"/>
      <c r="AE46" s="799" t="str">
        <f t="shared" si="6"/>
        <v>Wojewódzka i Miejska Biblioteka Publiczna im. dr Witolda Bełzy w Bydgoszczy</v>
      </c>
      <c r="AF46" s="799" t="str">
        <f t="shared" si="7"/>
        <v>BIBLIO</v>
      </c>
      <c r="AG46" s="172">
        <v>2</v>
      </c>
      <c r="AH46" s="172">
        <v>42930</v>
      </c>
      <c r="AI46" s="170">
        <f t="shared" si="11"/>
        <v>18494.11</v>
      </c>
      <c r="AJ46" s="171">
        <f t="shared" si="9"/>
        <v>10.2972035376</v>
      </c>
      <c r="AK46" s="173">
        <f t="shared" si="14"/>
        <v>0.43079687863964594</v>
      </c>
      <c r="AL46" s="174">
        <f t="shared" si="15"/>
        <v>9247.0550000000003</v>
      </c>
      <c r="AM46" s="175">
        <f t="shared" si="16"/>
        <v>2.3986031999999999E-4</v>
      </c>
      <c r="AN46" s="176">
        <f t="shared" si="17"/>
        <v>5.1486017687999999</v>
      </c>
      <c r="AO46" s="177"/>
      <c r="AP46" s="718"/>
      <c r="AQ46" s="720"/>
      <c r="AR46" s="177"/>
      <c r="AS46" s="177"/>
      <c r="AT46" s="177"/>
      <c r="AU46" s="177"/>
      <c r="AV46" s="177"/>
      <c r="AW46" s="177"/>
      <c r="AX46" s="177"/>
      <c r="AY46" s="177"/>
      <c r="AZ46" s="177"/>
      <c r="BA46" s="177"/>
      <c r="BB46" s="177"/>
      <c r="BC46" s="177"/>
    </row>
    <row r="47" spans="1:55" s="178" customFormat="1">
      <c r="A47" s="795"/>
      <c r="B47" s="713" t="s">
        <v>258</v>
      </c>
      <c r="C47" s="726" t="s">
        <v>206</v>
      </c>
      <c r="D47" s="169">
        <v>773</v>
      </c>
      <c r="E47" s="170">
        <v>3005.14</v>
      </c>
      <c r="F47" s="797">
        <f t="shared" si="12"/>
        <v>3.887632600258732</v>
      </c>
      <c r="G47" s="171">
        <f>D47*'Wskazniki emisji paliw'!L$19</f>
        <v>1.8541202736</v>
      </c>
      <c r="H47" s="169"/>
      <c r="I47" s="170"/>
      <c r="J47" s="797" t="str">
        <f t="shared" si="13"/>
        <v/>
      </c>
      <c r="K47" s="171">
        <f>H47*'Wskazniki emisji paliw'!L$18</f>
        <v>0</v>
      </c>
      <c r="L47" s="169"/>
      <c r="M47" s="170"/>
      <c r="N47" s="171">
        <f>L47*'Wskazniki emisji paliw'!$L$28</f>
        <v>0</v>
      </c>
      <c r="O47" s="169"/>
      <c r="P47" s="170"/>
      <c r="Q47" s="171">
        <f>O47*'Wskazniki emisji paliw'!M$29</f>
        <v>0</v>
      </c>
      <c r="R47" s="169"/>
      <c r="S47" s="170"/>
      <c r="T47" s="171">
        <f>R47*'Wskazniki emisji paliw'!L$21</f>
        <v>0</v>
      </c>
      <c r="U47" s="169"/>
      <c r="V47" s="170"/>
      <c r="W47" s="171">
        <f>U47*'Wskazniki emisji paliw'!L$19*(1-W$6)</f>
        <v>0</v>
      </c>
      <c r="X47" s="169"/>
      <c r="Y47" s="170"/>
      <c r="Z47" s="171">
        <f>X47*'Wskazniki emisji paliw'!L$18*(1-Z$6)</f>
        <v>0</v>
      </c>
      <c r="AA47" s="169"/>
      <c r="AB47" s="170"/>
      <c r="AC47" s="171">
        <f>AA47*(HLOOKUP(Ogolne!$D$6,'Wskazniki emisji elektrycznosc'!$B$8:$G$29,Ogolne!$E$7,TRUE))/1000</f>
        <v>0</v>
      </c>
      <c r="AD47" s="145"/>
      <c r="AE47" s="799" t="str">
        <f t="shared" si="6"/>
        <v>Wydział Edukacji, Urząd Miasta Bydgoszczy  - bursy, schroniska</v>
      </c>
      <c r="AF47" s="799" t="str">
        <f t="shared" si="7"/>
        <v>WE</v>
      </c>
      <c r="AG47" s="172"/>
      <c r="AH47" s="172"/>
      <c r="AI47" s="170">
        <f t="shared" si="11"/>
        <v>3005.14</v>
      </c>
      <c r="AJ47" s="171">
        <f t="shared" si="9"/>
        <v>1.8541202736</v>
      </c>
      <c r="AK47" s="173" t="str">
        <f t="shared" si="14"/>
        <v/>
      </c>
      <c r="AL47" s="174" t="str">
        <f t="shared" si="15"/>
        <v/>
      </c>
      <c r="AM47" s="175" t="str">
        <f t="shared" si="16"/>
        <v/>
      </c>
      <c r="AN47" s="176" t="str">
        <f t="shared" si="17"/>
        <v/>
      </c>
      <c r="AO47" s="177"/>
      <c r="AP47" s="718"/>
      <c r="AQ47" s="720"/>
      <c r="AR47" s="177"/>
      <c r="AS47" s="177"/>
      <c r="AT47" s="177"/>
      <c r="AU47" s="177"/>
      <c r="AV47" s="177"/>
      <c r="AW47" s="177"/>
      <c r="AX47" s="177"/>
      <c r="AY47" s="177"/>
      <c r="AZ47" s="177"/>
      <c r="BA47" s="177"/>
      <c r="BB47" s="177"/>
      <c r="BC47" s="177"/>
    </row>
    <row r="48" spans="1:55" s="178" customFormat="1">
      <c r="A48" s="795"/>
      <c r="B48" s="713" t="s">
        <v>266</v>
      </c>
      <c r="C48" s="726" t="s">
        <v>206</v>
      </c>
      <c r="D48" s="169"/>
      <c r="E48" s="170"/>
      <c r="F48" s="797" t="str">
        <f t="shared" si="12"/>
        <v/>
      </c>
      <c r="G48" s="171">
        <f>D48*'Wskazniki emisji paliw'!L$19</f>
        <v>0</v>
      </c>
      <c r="H48" s="169"/>
      <c r="I48" s="170"/>
      <c r="J48" s="797" t="str">
        <f t="shared" si="13"/>
        <v/>
      </c>
      <c r="K48" s="171">
        <f>H48*'Wskazniki emisji paliw'!L$18</f>
        <v>0</v>
      </c>
      <c r="L48" s="169"/>
      <c r="M48" s="170"/>
      <c r="N48" s="171">
        <f>L48*'Wskazniki emisji paliw'!$L$28</f>
        <v>0</v>
      </c>
      <c r="O48" s="169"/>
      <c r="P48" s="170"/>
      <c r="Q48" s="171">
        <f>O48*'Wskazniki emisji paliw'!M$29</f>
        <v>0</v>
      </c>
      <c r="R48" s="169"/>
      <c r="S48" s="170"/>
      <c r="T48" s="171">
        <f>R48*'Wskazniki emisji paliw'!L$21</f>
        <v>0</v>
      </c>
      <c r="U48" s="169"/>
      <c r="V48" s="170"/>
      <c r="W48" s="171">
        <f>U48*'Wskazniki emisji paliw'!L$19*(1-W$6)</f>
        <v>0</v>
      </c>
      <c r="X48" s="169"/>
      <c r="Y48" s="170"/>
      <c r="Z48" s="171">
        <f>X48*'Wskazniki emisji paliw'!L$18*(1-Z$6)</f>
        <v>0</v>
      </c>
      <c r="AA48" s="169"/>
      <c r="AB48" s="170"/>
      <c r="AC48" s="171">
        <f>AA48*(HLOOKUP(Ogolne!$D$6,'Wskazniki emisji elektrycznosc'!$B$8:$G$29,Ogolne!$E$7,TRUE))/1000</f>
        <v>0</v>
      </c>
      <c r="AD48" s="145"/>
      <c r="AE48" s="799" t="str">
        <f t="shared" si="6"/>
        <v>Wydział Edukacji, Urząd Miasta Bydgoszczy  - gimnazja</v>
      </c>
      <c r="AF48" s="799" t="str">
        <f t="shared" si="7"/>
        <v>WE</v>
      </c>
      <c r="AG48" s="172"/>
      <c r="AH48" s="172"/>
      <c r="AI48" s="170">
        <f t="shared" si="11"/>
        <v>0</v>
      </c>
      <c r="AJ48" s="171">
        <f t="shared" si="9"/>
        <v>0</v>
      </c>
      <c r="AK48" s="173" t="str">
        <f t="shared" si="14"/>
        <v/>
      </c>
      <c r="AL48" s="174" t="str">
        <f t="shared" si="15"/>
        <v/>
      </c>
      <c r="AM48" s="175" t="str">
        <f t="shared" si="16"/>
        <v/>
      </c>
      <c r="AN48" s="176" t="str">
        <f t="shared" si="17"/>
        <v/>
      </c>
      <c r="AO48" s="177"/>
      <c r="AP48" s="718"/>
      <c r="AQ48" s="720"/>
      <c r="AR48" s="177"/>
      <c r="AS48" s="177"/>
      <c r="AT48" s="177"/>
      <c r="AU48" s="177"/>
      <c r="AV48" s="177"/>
      <c r="AW48" s="177"/>
      <c r="AX48" s="177"/>
      <c r="AY48" s="177"/>
      <c r="AZ48" s="177"/>
      <c r="BA48" s="177"/>
      <c r="BB48" s="177"/>
      <c r="BC48" s="177"/>
    </row>
    <row r="49" spans="1:55" s="178" customFormat="1">
      <c r="A49" s="795"/>
      <c r="B49" s="713" t="s">
        <v>259</v>
      </c>
      <c r="C49" s="726" t="s">
        <v>206</v>
      </c>
      <c r="D49" s="169"/>
      <c r="E49" s="170"/>
      <c r="F49" s="797" t="str">
        <f t="shared" si="12"/>
        <v/>
      </c>
      <c r="G49" s="171">
        <f>D49*'Wskazniki emisji paliw'!L$19</f>
        <v>0</v>
      </c>
      <c r="H49" s="169">
        <v>1370</v>
      </c>
      <c r="I49" s="170">
        <v>4706.49</v>
      </c>
      <c r="J49" s="797">
        <f t="shared" si="13"/>
        <v>3.4353941605839413</v>
      </c>
      <c r="K49" s="171">
        <f>H49*'Wskazniki emisji paliw'!L$18</f>
        <v>3.6677977620059989</v>
      </c>
      <c r="L49" s="169"/>
      <c r="M49" s="170"/>
      <c r="N49" s="171">
        <f>L49*'Wskazniki emisji paliw'!$L$28</f>
        <v>0</v>
      </c>
      <c r="O49" s="169"/>
      <c r="P49" s="170"/>
      <c r="Q49" s="171">
        <f>O49*'Wskazniki emisji paliw'!M$29</f>
        <v>0</v>
      </c>
      <c r="R49" s="169"/>
      <c r="S49" s="170"/>
      <c r="T49" s="171">
        <f>R49*'Wskazniki emisji paliw'!L$21</f>
        <v>0</v>
      </c>
      <c r="U49" s="169"/>
      <c r="V49" s="170"/>
      <c r="W49" s="171">
        <f>U49*'Wskazniki emisji paliw'!L$19*(1-W$6)</f>
        <v>0</v>
      </c>
      <c r="X49" s="169"/>
      <c r="Y49" s="170"/>
      <c r="Z49" s="171">
        <f>X49*'Wskazniki emisji paliw'!L$18*(1-Z$6)</f>
        <v>0</v>
      </c>
      <c r="AA49" s="169"/>
      <c r="AB49" s="170"/>
      <c r="AC49" s="171">
        <f>AA49*(HLOOKUP(Ogolne!$D$6,'Wskazniki emisji elektrycznosc'!$B$8:$G$29,Ogolne!$E$7,TRUE))/1000</f>
        <v>0</v>
      </c>
      <c r="AD49" s="145"/>
      <c r="AE49" s="799" t="str">
        <f t="shared" si="6"/>
        <v>Wydział Edukacji, Urząd Miasta Bydgoszczy  - inne szkoły</v>
      </c>
      <c r="AF49" s="799" t="str">
        <f t="shared" si="7"/>
        <v>WE</v>
      </c>
      <c r="AG49" s="172"/>
      <c r="AH49" s="172"/>
      <c r="AI49" s="170">
        <f t="shared" ref="AI49:AI69" si="18">E49+I49+M49+P49+S49+V49+Y49+AB49</f>
        <v>4706.49</v>
      </c>
      <c r="AJ49" s="171">
        <f t="shared" si="9"/>
        <v>3.6677977620059989</v>
      </c>
      <c r="AK49" s="173" t="str">
        <f t="shared" si="14"/>
        <v/>
      </c>
      <c r="AL49" s="174" t="str">
        <f t="shared" si="15"/>
        <v/>
      </c>
      <c r="AM49" s="175" t="str">
        <f t="shared" si="16"/>
        <v/>
      </c>
      <c r="AN49" s="176" t="str">
        <f t="shared" si="17"/>
        <v/>
      </c>
      <c r="AO49" s="177"/>
      <c r="AP49" s="718"/>
      <c r="AQ49" s="720"/>
      <c r="AR49" s="177"/>
      <c r="AS49" s="177"/>
      <c r="AT49" s="177"/>
      <c r="AU49" s="177"/>
      <c r="AV49" s="177"/>
      <c r="AW49" s="177"/>
      <c r="AX49" s="177"/>
      <c r="AY49" s="177"/>
      <c r="AZ49" s="177"/>
      <c r="BA49" s="177"/>
      <c r="BB49" s="177"/>
      <c r="BC49" s="177"/>
    </row>
    <row r="50" spans="1:55" s="178" customFormat="1">
      <c r="A50" s="795"/>
      <c r="B50" s="713" t="s">
        <v>260</v>
      </c>
      <c r="C50" s="726" t="s">
        <v>206</v>
      </c>
      <c r="D50" s="169">
        <v>1177</v>
      </c>
      <c r="E50" s="170">
        <v>4511.7299999999996</v>
      </c>
      <c r="F50" s="797">
        <f t="shared" si="12"/>
        <v>3.8332455395072214</v>
      </c>
      <c r="G50" s="171">
        <f>D50*'Wskazniki emisji paliw'!L$19</f>
        <v>2.8231559663999999</v>
      </c>
      <c r="H50" s="169">
        <v>3116.5</v>
      </c>
      <c r="I50" s="170">
        <v>11411.71</v>
      </c>
      <c r="J50" s="797">
        <f t="shared" si="13"/>
        <v>3.6617070431573877</v>
      </c>
      <c r="K50" s="171">
        <f>H50*'Wskazniki emisji paliw'!L$18</f>
        <v>8.3435706024026981</v>
      </c>
      <c r="L50" s="169"/>
      <c r="M50" s="170"/>
      <c r="N50" s="171">
        <f>L50*'Wskazniki emisji paliw'!$L$28</f>
        <v>0</v>
      </c>
      <c r="O50" s="169"/>
      <c r="P50" s="170"/>
      <c r="Q50" s="171">
        <f>O50*'Wskazniki emisji paliw'!M$29</f>
        <v>0</v>
      </c>
      <c r="R50" s="169"/>
      <c r="S50" s="170"/>
      <c r="T50" s="171">
        <f>R50*'Wskazniki emisji paliw'!L$21</f>
        <v>0</v>
      </c>
      <c r="U50" s="169"/>
      <c r="V50" s="170"/>
      <c r="W50" s="171">
        <f>U50*'Wskazniki emisji paliw'!L$19*(1-W$6)</f>
        <v>0</v>
      </c>
      <c r="X50" s="169"/>
      <c r="Y50" s="170"/>
      <c r="Z50" s="171">
        <f>X50*'Wskazniki emisji paliw'!L$18*(1-Z$6)</f>
        <v>0</v>
      </c>
      <c r="AA50" s="169"/>
      <c r="AB50" s="170"/>
      <c r="AC50" s="171">
        <f>AA50*(HLOOKUP(Ogolne!$D$6,'Wskazniki emisji elektrycznosc'!$B$8:$G$29,Ogolne!$E$7,TRUE))/1000</f>
        <v>0</v>
      </c>
      <c r="AD50" s="145"/>
      <c r="AE50" s="799" t="str">
        <f t="shared" si="6"/>
        <v>Wydział Edukacji, Urząd Miasta Bydgoszczy  - MDK</v>
      </c>
      <c r="AF50" s="799" t="str">
        <f t="shared" si="7"/>
        <v>WE</v>
      </c>
      <c r="AG50" s="172">
        <v>15</v>
      </c>
      <c r="AH50" s="172">
        <v>145028</v>
      </c>
      <c r="AI50" s="170">
        <f t="shared" si="18"/>
        <v>15923.439999999999</v>
      </c>
      <c r="AJ50" s="171">
        <f t="shared" si="9"/>
        <v>11.166726568802698</v>
      </c>
      <c r="AK50" s="173">
        <f t="shared" si="14"/>
        <v>0.10979562567228396</v>
      </c>
      <c r="AL50" s="174">
        <f t="shared" si="15"/>
        <v>1061.5626666666665</v>
      </c>
      <c r="AM50" s="175">
        <f t="shared" si="16"/>
        <v>7.6997038977319536E-5</v>
      </c>
      <c r="AN50" s="176">
        <f t="shared" si="17"/>
        <v>0.7444484379201799</v>
      </c>
      <c r="AO50" s="177"/>
      <c r="AP50" s="718"/>
      <c r="AQ50" s="720"/>
      <c r="AR50" s="177"/>
      <c r="AS50" s="177"/>
      <c r="AT50" s="177"/>
      <c r="AU50" s="177"/>
      <c r="AV50" s="177"/>
      <c r="AW50" s="177"/>
      <c r="AX50" s="177"/>
      <c r="AY50" s="177"/>
      <c r="AZ50" s="177"/>
      <c r="BA50" s="177"/>
      <c r="BB50" s="177"/>
      <c r="BC50" s="177"/>
    </row>
    <row r="51" spans="1:55" s="178" customFormat="1">
      <c r="A51" s="795"/>
      <c r="B51" s="713" t="s">
        <v>261</v>
      </c>
      <c r="C51" s="726" t="s">
        <v>206</v>
      </c>
      <c r="D51" s="169"/>
      <c r="E51" s="170"/>
      <c r="F51" s="797" t="str">
        <f t="shared" si="12"/>
        <v/>
      </c>
      <c r="G51" s="171">
        <f>D51*'Wskazniki emisji paliw'!L$19</f>
        <v>0</v>
      </c>
      <c r="H51" s="169"/>
      <c r="I51" s="170"/>
      <c r="J51" s="797" t="str">
        <f t="shared" si="13"/>
        <v/>
      </c>
      <c r="K51" s="171">
        <f>H51*'Wskazniki emisji paliw'!L$18</f>
        <v>0</v>
      </c>
      <c r="L51" s="169"/>
      <c r="M51" s="170"/>
      <c r="N51" s="171">
        <f>L51*'Wskazniki emisji paliw'!$L$28</f>
        <v>0</v>
      </c>
      <c r="O51" s="169"/>
      <c r="P51" s="170"/>
      <c r="Q51" s="171">
        <f>O51*'Wskazniki emisji paliw'!M$29</f>
        <v>0</v>
      </c>
      <c r="R51" s="169"/>
      <c r="S51" s="170"/>
      <c r="T51" s="171">
        <f>R51*'Wskazniki emisji paliw'!L$21</f>
        <v>0</v>
      </c>
      <c r="U51" s="169"/>
      <c r="V51" s="170"/>
      <c r="W51" s="171">
        <f>U51*'Wskazniki emisji paliw'!L$19*(1-W$6)</f>
        <v>0</v>
      </c>
      <c r="X51" s="169"/>
      <c r="Y51" s="170"/>
      <c r="Z51" s="171">
        <f>X51*'Wskazniki emisji paliw'!L$18*(1-Z$6)</f>
        <v>0</v>
      </c>
      <c r="AA51" s="169"/>
      <c r="AB51" s="170"/>
      <c r="AC51" s="171">
        <f>AA51*(HLOOKUP(Ogolne!$D$6,'Wskazniki emisji elektrycznosc'!$B$8:$G$29,Ogolne!$E$7,TRUE))/1000</f>
        <v>0</v>
      </c>
      <c r="AD51" s="145"/>
      <c r="AE51" s="799" t="str">
        <f t="shared" si="6"/>
        <v>Wydział Edukacji, Urząd Miasta Bydgoszczy  - ośrodki</v>
      </c>
      <c r="AF51" s="799" t="str">
        <f t="shared" si="7"/>
        <v>WE</v>
      </c>
      <c r="AG51" s="172">
        <v>1</v>
      </c>
      <c r="AH51" s="172">
        <v>12338</v>
      </c>
      <c r="AI51" s="170">
        <f t="shared" si="18"/>
        <v>0</v>
      </c>
      <c r="AJ51" s="171">
        <f t="shared" si="9"/>
        <v>0</v>
      </c>
      <c r="AK51" s="173">
        <f t="shared" si="14"/>
        <v>0</v>
      </c>
      <c r="AL51" s="174">
        <f t="shared" si="15"/>
        <v>0</v>
      </c>
      <c r="AM51" s="175">
        <f t="shared" si="16"/>
        <v>0</v>
      </c>
      <c r="AN51" s="176">
        <f t="shared" si="17"/>
        <v>0</v>
      </c>
      <c r="AO51" s="177"/>
      <c r="AP51" s="718"/>
      <c r="AQ51" s="720"/>
      <c r="AR51" s="177"/>
      <c r="AS51" s="177"/>
      <c r="AT51" s="177"/>
      <c r="AU51" s="177"/>
      <c r="AV51" s="177"/>
      <c r="AW51" s="177"/>
      <c r="AX51" s="177"/>
      <c r="AY51" s="177"/>
      <c r="AZ51" s="177"/>
      <c r="BA51" s="177"/>
      <c r="BB51" s="177"/>
      <c r="BC51" s="177"/>
    </row>
    <row r="52" spans="1:55" s="178" customFormat="1">
      <c r="A52" s="795"/>
      <c r="B52" s="713" t="s">
        <v>262</v>
      </c>
      <c r="C52" s="726" t="s">
        <v>206</v>
      </c>
      <c r="D52" s="169"/>
      <c r="E52" s="170"/>
      <c r="F52" s="797" t="str">
        <f t="shared" si="12"/>
        <v/>
      </c>
      <c r="G52" s="171">
        <f>D52*'Wskazniki emisji paliw'!L$19</f>
        <v>0</v>
      </c>
      <c r="H52" s="169"/>
      <c r="I52" s="170"/>
      <c r="J52" s="797" t="str">
        <f t="shared" si="13"/>
        <v/>
      </c>
      <c r="K52" s="171">
        <f>H52*'Wskazniki emisji paliw'!L$18</f>
        <v>0</v>
      </c>
      <c r="L52" s="169"/>
      <c r="M52" s="170"/>
      <c r="N52" s="171">
        <f>L52*'Wskazniki emisji paliw'!$L$28</f>
        <v>0</v>
      </c>
      <c r="O52" s="169"/>
      <c r="P52" s="170"/>
      <c r="Q52" s="171">
        <f>O52*'Wskazniki emisji paliw'!M$29</f>
        <v>0</v>
      </c>
      <c r="R52" s="169"/>
      <c r="S52" s="170"/>
      <c r="T52" s="171">
        <f>R52*'Wskazniki emisji paliw'!L$21</f>
        <v>0</v>
      </c>
      <c r="U52" s="169"/>
      <c r="V52" s="170"/>
      <c r="W52" s="171">
        <f>U52*'Wskazniki emisji paliw'!L$19*(1-W$6)</f>
        <v>0</v>
      </c>
      <c r="X52" s="169"/>
      <c r="Y52" s="170"/>
      <c r="Z52" s="171">
        <f>X52*'Wskazniki emisji paliw'!L$18*(1-Z$6)</f>
        <v>0</v>
      </c>
      <c r="AA52" s="169"/>
      <c r="AB52" s="170"/>
      <c r="AC52" s="171">
        <f>AA52*(HLOOKUP(Ogolne!$D$6,'Wskazniki emisji elektrycznosc'!$B$8:$G$29,Ogolne!$E$7,TRUE))/1000</f>
        <v>0</v>
      </c>
      <c r="AD52" s="145"/>
      <c r="AE52" s="799" t="str">
        <f t="shared" si="6"/>
        <v>Wydział Edukacji, Urząd Miasta Bydgoszczy  - poradnie</v>
      </c>
      <c r="AF52" s="799" t="str">
        <f t="shared" si="7"/>
        <v>WE</v>
      </c>
      <c r="AG52" s="172">
        <v>1</v>
      </c>
      <c r="AH52" s="172">
        <v>5949</v>
      </c>
      <c r="AI52" s="170">
        <f t="shared" si="18"/>
        <v>0</v>
      </c>
      <c r="AJ52" s="171">
        <f t="shared" si="9"/>
        <v>0</v>
      </c>
      <c r="AK52" s="173">
        <f t="shared" si="14"/>
        <v>0</v>
      </c>
      <c r="AL52" s="174">
        <f t="shared" si="15"/>
        <v>0</v>
      </c>
      <c r="AM52" s="175">
        <f t="shared" si="16"/>
        <v>0</v>
      </c>
      <c r="AN52" s="176">
        <f t="shared" si="17"/>
        <v>0</v>
      </c>
      <c r="AO52" s="177"/>
      <c r="AP52" s="718"/>
      <c r="AQ52" s="720"/>
      <c r="AR52" s="177"/>
      <c r="AS52" s="177"/>
      <c r="AT52" s="177"/>
      <c r="AU52" s="177"/>
      <c r="AV52" s="177"/>
      <c r="AW52" s="177"/>
      <c r="AX52" s="177"/>
      <c r="AY52" s="177"/>
      <c r="AZ52" s="177"/>
      <c r="BA52" s="177"/>
      <c r="BB52" s="177"/>
      <c r="BC52" s="177"/>
    </row>
    <row r="53" spans="1:55" s="178" customFormat="1">
      <c r="A53" s="795"/>
      <c r="B53" s="713" t="s">
        <v>263</v>
      </c>
      <c r="C53" s="726" t="s">
        <v>206</v>
      </c>
      <c r="D53" s="169"/>
      <c r="E53" s="170"/>
      <c r="F53" s="797" t="str">
        <f t="shared" si="12"/>
        <v/>
      </c>
      <c r="G53" s="171">
        <f>D53*'Wskazniki emisji paliw'!L$19</f>
        <v>0</v>
      </c>
      <c r="H53" s="169"/>
      <c r="I53" s="170"/>
      <c r="J53" s="797" t="str">
        <f t="shared" si="13"/>
        <v/>
      </c>
      <c r="K53" s="171">
        <f>H53*'Wskazniki emisji paliw'!L$18</f>
        <v>0</v>
      </c>
      <c r="L53" s="169"/>
      <c r="M53" s="170"/>
      <c r="N53" s="171">
        <f>L53*'Wskazniki emisji paliw'!$L$28</f>
        <v>0</v>
      </c>
      <c r="O53" s="169"/>
      <c r="P53" s="170"/>
      <c r="Q53" s="171">
        <f>O53*'Wskazniki emisji paliw'!M$29</f>
        <v>0</v>
      </c>
      <c r="R53" s="169"/>
      <c r="S53" s="170"/>
      <c r="T53" s="171">
        <f>R53*'Wskazniki emisji paliw'!L$21</f>
        <v>0</v>
      </c>
      <c r="U53" s="169"/>
      <c r="V53" s="170"/>
      <c r="W53" s="171">
        <f>U53*'Wskazniki emisji paliw'!L$19*(1-W$6)</f>
        <v>0</v>
      </c>
      <c r="X53" s="169"/>
      <c r="Y53" s="170"/>
      <c r="Z53" s="171">
        <f>X53*'Wskazniki emisji paliw'!L$18*(1-Z$6)</f>
        <v>0</v>
      </c>
      <c r="AA53" s="169"/>
      <c r="AB53" s="170"/>
      <c r="AC53" s="171">
        <f>AA53*(HLOOKUP(Ogolne!$D$6,'Wskazniki emisji elektrycznosc'!$B$8:$G$29,Ogolne!$E$7,TRUE))/1000</f>
        <v>0</v>
      </c>
      <c r="AD53" s="145"/>
      <c r="AE53" s="799" t="str">
        <f t="shared" si="6"/>
        <v>Wydział Edukacji, Urząd Miasta Bydgoszczy  - przedszkola</v>
      </c>
      <c r="AF53" s="799" t="str">
        <f t="shared" si="7"/>
        <v>WE</v>
      </c>
      <c r="AG53" s="172">
        <v>4</v>
      </c>
      <c r="AH53" s="172">
        <v>34111</v>
      </c>
      <c r="AI53" s="170">
        <f t="shared" si="18"/>
        <v>0</v>
      </c>
      <c r="AJ53" s="171">
        <f t="shared" si="9"/>
        <v>0</v>
      </c>
      <c r="AK53" s="173">
        <f t="shared" si="14"/>
        <v>0</v>
      </c>
      <c r="AL53" s="174">
        <f t="shared" si="15"/>
        <v>0</v>
      </c>
      <c r="AM53" s="175">
        <f t="shared" si="16"/>
        <v>0</v>
      </c>
      <c r="AN53" s="176">
        <f t="shared" si="17"/>
        <v>0</v>
      </c>
      <c r="AO53" s="177"/>
      <c r="AP53" s="718"/>
      <c r="AQ53" s="720"/>
      <c r="AR53" s="177"/>
      <c r="AS53" s="177"/>
      <c r="AT53" s="177"/>
      <c r="AU53" s="177"/>
      <c r="AV53" s="177"/>
      <c r="AW53" s="177"/>
      <c r="AX53" s="177"/>
      <c r="AY53" s="177"/>
      <c r="AZ53" s="177"/>
      <c r="BA53" s="177"/>
      <c r="BB53" s="177"/>
      <c r="BC53" s="177"/>
    </row>
    <row r="54" spans="1:55" s="178" customFormat="1">
      <c r="A54" s="795"/>
      <c r="B54" s="713" t="s">
        <v>264</v>
      </c>
      <c r="C54" s="726" t="s">
        <v>206</v>
      </c>
      <c r="D54" s="169"/>
      <c r="E54" s="170"/>
      <c r="F54" s="797" t="str">
        <f t="shared" si="12"/>
        <v/>
      </c>
      <c r="G54" s="171">
        <f>D54*'Wskazniki emisji paliw'!L$19</f>
        <v>0</v>
      </c>
      <c r="H54" s="169"/>
      <c r="I54" s="170"/>
      <c r="J54" s="797" t="str">
        <f t="shared" si="13"/>
        <v/>
      </c>
      <c r="K54" s="171">
        <f>H54*'Wskazniki emisji paliw'!L$18</f>
        <v>0</v>
      </c>
      <c r="L54" s="169"/>
      <c r="M54" s="170"/>
      <c r="N54" s="171">
        <f>L54*'Wskazniki emisji paliw'!$L$28</f>
        <v>0</v>
      </c>
      <c r="O54" s="169"/>
      <c r="P54" s="170"/>
      <c r="Q54" s="171">
        <f>O54*'Wskazniki emisji paliw'!M$29</f>
        <v>0</v>
      </c>
      <c r="R54" s="169"/>
      <c r="S54" s="170"/>
      <c r="T54" s="171">
        <f>R54*'Wskazniki emisji paliw'!L$21</f>
        <v>0</v>
      </c>
      <c r="U54" s="169"/>
      <c r="V54" s="170"/>
      <c r="W54" s="171">
        <f>U54*'Wskazniki emisji paliw'!L$19*(1-W$6)</f>
        <v>0</v>
      </c>
      <c r="X54" s="169"/>
      <c r="Y54" s="170"/>
      <c r="Z54" s="171">
        <f>X54*'Wskazniki emisji paliw'!L$18*(1-Z$6)</f>
        <v>0</v>
      </c>
      <c r="AA54" s="169"/>
      <c r="AB54" s="170"/>
      <c r="AC54" s="171">
        <f>AA54*(HLOOKUP(Ogolne!$D$6,'Wskazniki emisji elektrycznosc'!$B$8:$G$29,Ogolne!$E$7,TRUE))/1000</f>
        <v>0</v>
      </c>
      <c r="AD54" s="145"/>
      <c r="AE54" s="799" t="str">
        <f t="shared" si="6"/>
        <v>Wydział Edukacji, Urząd Miasta Bydgoszczy  - szkoły podstawowe</v>
      </c>
      <c r="AF54" s="799" t="str">
        <f t="shared" si="7"/>
        <v>WE</v>
      </c>
      <c r="AG54" s="172"/>
      <c r="AH54" s="172"/>
      <c r="AI54" s="170">
        <f t="shared" si="18"/>
        <v>0</v>
      </c>
      <c r="AJ54" s="171">
        <f t="shared" si="9"/>
        <v>0</v>
      </c>
      <c r="AK54" s="173" t="str">
        <f t="shared" si="14"/>
        <v/>
      </c>
      <c r="AL54" s="174" t="str">
        <f t="shared" si="15"/>
        <v/>
      </c>
      <c r="AM54" s="175" t="str">
        <f t="shared" si="16"/>
        <v/>
      </c>
      <c r="AN54" s="176" t="str">
        <f t="shared" si="17"/>
        <v/>
      </c>
      <c r="AO54" s="177"/>
      <c r="AP54" s="718"/>
      <c r="AQ54" s="720"/>
      <c r="AR54" s="177"/>
      <c r="AS54" s="177"/>
      <c r="AT54" s="177"/>
      <c r="AU54" s="177"/>
      <c r="AV54" s="177"/>
      <c r="AW54" s="177"/>
      <c r="AX54" s="177"/>
      <c r="AY54" s="177"/>
      <c r="AZ54" s="177"/>
      <c r="BA54" s="177"/>
      <c r="BB54" s="177"/>
      <c r="BC54" s="177"/>
    </row>
    <row r="55" spans="1:55" s="178" customFormat="1">
      <c r="A55" s="795"/>
      <c r="B55" s="713" t="s">
        <v>265</v>
      </c>
      <c r="C55" s="726" t="s">
        <v>206</v>
      </c>
      <c r="D55" s="169">
        <v>8974.630000000001</v>
      </c>
      <c r="E55" s="170">
        <v>33450.449999999997</v>
      </c>
      <c r="F55" s="797">
        <f t="shared" si="12"/>
        <v>3.7272232949993476</v>
      </c>
      <c r="G55" s="171">
        <f>D55*'Wskazniki emisji paliw'!L$19</f>
        <v>21.526576236816002</v>
      </c>
      <c r="H55" s="169">
        <v>4424.24</v>
      </c>
      <c r="I55" s="170">
        <v>11666.42</v>
      </c>
      <c r="J55" s="797">
        <f t="shared" si="13"/>
        <v>2.6369319928394481</v>
      </c>
      <c r="K55" s="171">
        <f>H55*'Wskazniki emisji paliw'!L$18</f>
        <v>11.844684358085708</v>
      </c>
      <c r="L55" s="169"/>
      <c r="M55" s="170"/>
      <c r="N55" s="171">
        <f>L55*'Wskazniki emisji paliw'!$L$28</f>
        <v>0</v>
      </c>
      <c r="O55" s="169"/>
      <c r="P55" s="170"/>
      <c r="Q55" s="171">
        <f>O55*'Wskazniki emisji paliw'!M$29</f>
        <v>0</v>
      </c>
      <c r="R55" s="169"/>
      <c r="S55" s="170"/>
      <c r="T55" s="171">
        <f>R55*'Wskazniki emisji paliw'!L$21</f>
        <v>0</v>
      </c>
      <c r="U55" s="169"/>
      <c r="V55" s="170"/>
      <c r="W55" s="171">
        <f>U55*'Wskazniki emisji paliw'!L$19*(1-W$6)</f>
        <v>0</v>
      </c>
      <c r="X55" s="169"/>
      <c r="Y55" s="170"/>
      <c r="Z55" s="171">
        <f>X55*'Wskazniki emisji paliw'!L$18*(1-Z$6)</f>
        <v>0</v>
      </c>
      <c r="AA55" s="169"/>
      <c r="AB55" s="170"/>
      <c r="AC55" s="171">
        <f>AA55*(HLOOKUP(Ogolne!$D$6,'Wskazniki emisji elektrycznosc'!$B$8:$G$29,Ogolne!$E$7,TRUE))/1000</f>
        <v>0</v>
      </c>
      <c r="AD55" s="145"/>
      <c r="AE55" s="799" t="str">
        <f t="shared" si="6"/>
        <v>Wydział Edukacji, Urząd Miasta Bydgoszczy  - zespoły szkół</v>
      </c>
      <c r="AF55" s="799" t="str">
        <f t="shared" si="7"/>
        <v>WE</v>
      </c>
      <c r="AG55" s="172"/>
      <c r="AH55" s="172"/>
      <c r="AI55" s="170">
        <f t="shared" si="18"/>
        <v>45116.869999999995</v>
      </c>
      <c r="AJ55" s="171">
        <f t="shared" si="9"/>
        <v>33.371260594901713</v>
      </c>
      <c r="AK55" s="173" t="str">
        <f t="shared" si="14"/>
        <v/>
      </c>
      <c r="AL55" s="174" t="str">
        <f t="shared" si="15"/>
        <v/>
      </c>
      <c r="AM55" s="175" t="str">
        <f t="shared" si="16"/>
        <v/>
      </c>
      <c r="AN55" s="176" t="str">
        <f t="shared" si="17"/>
        <v/>
      </c>
      <c r="AO55" s="177"/>
      <c r="AP55" s="718"/>
      <c r="AQ55" s="720"/>
      <c r="AR55" s="177"/>
      <c r="AS55" s="177"/>
      <c r="AT55" s="177"/>
      <c r="AU55" s="177"/>
      <c r="AV55" s="177"/>
      <c r="AW55" s="177"/>
      <c r="AX55" s="177"/>
      <c r="AY55" s="177"/>
      <c r="AZ55" s="177"/>
      <c r="BA55" s="177"/>
      <c r="BB55" s="177"/>
      <c r="BC55" s="177"/>
    </row>
    <row r="56" spans="1:55" s="178" customFormat="1">
      <c r="A56" s="795"/>
      <c r="B56" s="713" t="s">
        <v>255</v>
      </c>
      <c r="C56" s="726" t="s">
        <v>207</v>
      </c>
      <c r="D56" s="169">
        <v>16139</v>
      </c>
      <c r="E56" s="170">
        <v>61328</v>
      </c>
      <c r="F56" s="797">
        <f t="shared" si="12"/>
        <v>3.7999876076584669</v>
      </c>
      <c r="G56" s="171">
        <f>D56*'Wskazniki emisji paliw'!L$19</f>
        <v>38.7110570448</v>
      </c>
      <c r="H56" s="169">
        <v>3595</v>
      </c>
      <c r="I56" s="170">
        <v>12297</v>
      </c>
      <c r="J56" s="797">
        <f t="shared" si="13"/>
        <v>3.4205841446453409</v>
      </c>
      <c r="K56" s="171">
        <f>H56*'Wskazniki emisji paliw'!L$18</f>
        <v>9.6246225944609964</v>
      </c>
      <c r="L56" s="169">
        <v>3061</v>
      </c>
      <c r="M56" s="170">
        <v>6061</v>
      </c>
      <c r="N56" s="171">
        <f>L56*'Wskazniki emisji paliw'!$L$28</f>
        <v>21.451926135790913</v>
      </c>
      <c r="O56" s="169"/>
      <c r="P56" s="170"/>
      <c r="Q56" s="171">
        <f>O56*'Wskazniki emisji paliw'!M$29</f>
        <v>0</v>
      </c>
      <c r="R56" s="169"/>
      <c r="S56" s="170"/>
      <c r="T56" s="171">
        <f>R56*'Wskazniki emisji paliw'!L$21</f>
        <v>0</v>
      </c>
      <c r="U56" s="169"/>
      <c r="V56" s="170"/>
      <c r="W56" s="171">
        <f>U56*'Wskazniki emisji paliw'!L$19*(1-W$6)</f>
        <v>0</v>
      </c>
      <c r="X56" s="169"/>
      <c r="Y56" s="170"/>
      <c r="Z56" s="171">
        <f>X56*'Wskazniki emisji paliw'!L$18*(1-Z$6)</f>
        <v>0</v>
      </c>
      <c r="AA56" s="169"/>
      <c r="AB56" s="170"/>
      <c r="AC56" s="171">
        <f>AA56*(HLOOKUP(Ogolne!$D$6,'Wskazniki emisji elektrycznosc'!$B$8:$G$29,Ogolne!$E$7,TRUE))/1000</f>
        <v>0</v>
      </c>
      <c r="AD56" s="145"/>
      <c r="AE56" s="799" t="str">
        <f t="shared" si="6"/>
        <v>Wydział Obsługi Urzędu, Urząd Miasta Bydgoszczy</v>
      </c>
      <c r="AF56" s="799" t="str">
        <f t="shared" si="7"/>
        <v>WOU</v>
      </c>
      <c r="AG56" s="172"/>
      <c r="AH56" s="172"/>
      <c r="AI56" s="170">
        <f t="shared" si="18"/>
        <v>79686</v>
      </c>
      <c r="AJ56" s="171">
        <f t="shared" si="9"/>
        <v>69.787605775051901</v>
      </c>
      <c r="AK56" s="173" t="str">
        <f t="shared" si="14"/>
        <v/>
      </c>
      <c r="AL56" s="174" t="str">
        <f t="shared" si="15"/>
        <v/>
      </c>
      <c r="AM56" s="175" t="str">
        <f t="shared" si="16"/>
        <v/>
      </c>
      <c r="AN56" s="176" t="str">
        <f t="shared" si="17"/>
        <v/>
      </c>
      <c r="AO56" s="177"/>
      <c r="AP56" s="718"/>
      <c r="AQ56" s="720"/>
      <c r="AR56" s="177"/>
      <c r="AS56" s="177"/>
      <c r="AT56" s="177"/>
      <c r="AU56" s="177"/>
      <c r="AV56" s="177"/>
      <c r="AW56" s="177"/>
      <c r="AX56" s="177"/>
      <c r="AY56" s="177"/>
      <c r="AZ56" s="177"/>
      <c r="BA56" s="177"/>
      <c r="BB56" s="177"/>
      <c r="BC56" s="177"/>
    </row>
    <row r="57" spans="1:55" s="178" customFormat="1">
      <c r="A57" s="795"/>
      <c r="B57" s="713" t="s">
        <v>209</v>
      </c>
      <c r="C57" s="726" t="s">
        <v>210</v>
      </c>
      <c r="D57" s="169">
        <v>5969.11</v>
      </c>
      <c r="E57" s="170">
        <v>42520</v>
      </c>
      <c r="F57" s="797">
        <f t="shared" si="12"/>
        <v>7.123339995409701</v>
      </c>
      <c r="G57" s="171">
        <f>D57*'Wskazniki emisji paliw'!L$19</f>
        <v>14.317526347152</v>
      </c>
      <c r="H57" s="169">
        <v>139280.12</v>
      </c>
      <c r="I57" s="170">
        <v>516912.36</v>
      </c>
      <c r="J57" s="797">
        <f t="shared" si="13"/>
        <v>3.7113147231636505</v>
      </c>
      <c r="K57" s="171">
        <f>H57*'Wskazniki emisji paliw'!L$18</f>
        <v>372.88416965542115</v>
      </c>
      <c r="L57" s="169"/>
      <c r="M57" s="170"/>
      <c r="N57" s="171">
        <f>L57*'Wskazniki emisji paliw'!$L$28</f>
        <v>0</v>
      </c>
      <c r="O57" s="169"/>
      <c r="P57" s="170"/>
      <c r="Q57" s="171">
        <f>O57*'Wskazniki emisji paliw'!M$29</f>
        <v>0</v>
      </c>
      <c r="R57" s="169"/>
      <c r="S57" s="170"/>
      <c r="T57" s="171">
        <f>R57*'Wskazniki emisji paliw'!L$21</f>
        <v>0</v>
      </c>
      <c r="U57" s="169"/>
      <c r="V57" s="170"/>
      <c r="W57" s="171">
        <f>U57*'Wskazniki emisji paliw'!L$19*(1-W$6)</f>
        <v>0</v>
      </c>
      <c r="X57" s="169"/>
      <c r="Y57" s="170"/>
      <c r="Z57" s="171">
        <f>X57*'Wskazniki emisji paliw'!L$18*(1-Z$6)</f>
        <v>0</v>
      </c>
      <c r="AA57" s="169"/>
      <c r="AB57" s="170"/>
      <c r="AC57" s="171">
        <f>AA57*(HLOOKUP(Ogolne!$D$6,'Wskazniki emisji elektrycznosc'!$B$8:$G$29,Ogolne!$E$7,TRUE))/1000</f>
        <v>0</v>
      </c>
      <c r="AD57" s="145"/>
      <c r="AE57" s="799" t="str">
        <f t="shared" si="6"/>
        <v>Zakład Robót Publicznych</v>
      </c>
      <c r="AF57" s="799" t="str">
        <f t="shared" si="7"/>
        <v>ZRP</v>
      </c>
      <c r="AG57" s="172">
        <v>20</v>
      </c>
      <c r="AH57" s="172">
        <v>18602.2</v>
      </c>
      <c r="AI57" s="170">
        <f t="shared" si="18"/>
        <v>559432.36</v>
      </c>
      <c r="AJ57" s="171">
        <f t="shared" si="9"/>
        <v>387.20169600257316</v>
      </c>
      <c r="AK57" s="173">
        <f t="shared" si="14"/>
        <v>30.073451527238714</v>
      </c>
      <c r="AL57" s="174">
        <f t="shared" si="15"/>
        <v>27971.617999999999</v>
      </c>
      <c r="AM57" s="175">
        <f t="shared" si="16"/>
        <v>2.0814833514453835E-2</v>
      </c>
      <c r="AN57" s="176">
        <f t="shared" si="17"/>
        <v>19.360084800128657</v>
      </c>
      <c r="AO57" s="177"/>
      <c r="AP57" s="718"/>
      <c r="AQ57" s="720"/>
      <c r="AR57" s="177"/>
      <c r="AS57" s="177"/>
      <c r="AT57" s="177"/>
      <c r="AU57" s="177"/>
      <c r="AV57" s="177"/>
      <c r="AW57" s="177"/>
      <c r="AX57" s="177"/>
      <c r="AY57" s="177"/>
      <c r="AZ57" s="177"/>
      <c r="BA57" s="177"/>
      <c r="BB57" s="177"/>
      <c r="BC57" s="177"/>
    </row>
    <row r="58" spans="1:55" s="178" customFormat="1">
      <c r="A58" s="795"/>
      <c r="B58" s="713" t="s">
        <v>269</v>
      </c>
      <c r="C58" s="726" t="s">
        <v>210</v>
      </c>
      <c r="D58" s="169"/>
      <c r="E58" s="170"/>
      <c r="F58" s="797" t="str">
        <f t="shared" si="12"/>
        <v/>
      </c>
      <c r="G58" s="171">
        <f>D58*'Wskazniki emisji paliw'!L$19</f>
        <v>0</v>
      </c>
      <c r="H58" s="169"/>
      <c r="I58" s="170"/>
      <c r="J58" s="797" t="str">
        <f t="shared" si="13"/>
        <v/>
      </c>
      <c r="K58" s="171">
        <f>H58*'Wskazniki emisji paliw'!L$18</f>
        <v>0</v>
      </c>
      <c r="L58" s="169"/>
      <c r="M58" s="170"/>
      <c r="N58" s="171">
        <f>L58*'Wskazniki emisji paliw'!$L$28</f>
        <v>0</v>
      </c>
      <c r="O58" s="169"/>
      <c r="P58" s="170"/>
      <c r="Q58" s="171">
        <f>O58*'Wskazniki emisji paliw'!M$29</f>
        <v>0</v>
      </c>
      <c r="R58" s="169"/>
      <c r="S58" s="170"/>
      <c r="T58" s="171">
        <f>R58*'Wskazniki emisji paliw'!L$21</f>
        <v>0</v>
      </c>
      <c r="U58" s="169"/>
      <c r="V58" s="170"/>
      <c r="W58" s="171">
        <f>U58*'Wskazniki emisji paliw'!L$19*(1-W$6)</f>
        <v>0</v>
      </c>
      <c r="X58" s="169"/>
      <c r="Y58" s="170"/>
      <c r="Z58" s="171">
        <f>X58*'Wskazniki emisji paliw'!L$18*(1-Z$6)</f>
        <v>0</v>
      </c>
      <c r="AA58" s="169"/>
      <c r="AB58" s="170"/>
      <c r="AC58" s="171">
        <f>AA58*(HLOOKUP(Ogolne!$D$6,'Wskazniki emisji elektrycznosc'!$B$8:$G$29,Ogolne!$E$7,TRUE))/1000</f>
        <v>0</v>
      </c>
      <c r="AD58" s="145"/>
      <c r="AE58" s="799" t="str">
        <f t="shared" si="6"/>
        <v>Zakład Robót Publicznych - inne</v>
      </c>
      <c r="AF58" s="799" t="str">
        <f t="shared" si="7"/>
        <v>ZRP</v>
      </c>
      <c r="AG58" s="172"/>
      <c r="AH58" s="172"/>
      <c r="AI58" s="170">
        <f t="shared" si="18"/>
        <v>0</v>
      </c>
      <c r="AJ58" s="171">
        <f t="shared" si="9"/>
        <v>0</v>
      </c>
      <c r="AK58" s="173" t="str">
        <f t="shared" si="14"/>
        <v/>
      </c>
      <c r="AL58" s="174" t="str">
        <f t="shared" si="15"/>
        <v/>
      </c>
      <c r="AM58" s="175" t="str">
        <f t="shared" si="16"/>
        <v/>
      </c>
      <c r="AN58" s="176" t="str">
        <f t="shared" si="17"/>
        <v/>
      </c>
      <c r="AO58" s="177"/>
      <c r="AP58" s="718"/>
      <c r="AQ58" s="720"/>
      <c r="AR58" s="177"/>
      <c r="AS58" s="177"/>
      <c r="AT58" s="177"/>
      <c r="AU58" s="177"/>
      <c r="AV58" s="177"/>
      <c r="AW58" s="177"/>
      <c r="AX58" s="177"/>
      <c r="AY58" s="177"/>
      <c r="AZ58" s="177"/>
      <c r="BA58" s="177"/>
      <c r="BB58" s="177"/>
      <c r="BC58" s="177"/>
    </row>
    <row r="59" spans="1:55" s="178" customFormat="1" ht="22.5">
      <c r="A59" s="795"/>
      <c r="B59" s="772" t="s">
        <v>256</v>
      </c>
      <c r="C59" s="726" t="s">
        <v>208</v>
      </c>
      <c r="D59" s="169">
        <v>14892</v>
      </c>
      <c r="E59" s="170">
        <v>56405</v>
      </c>
      <c r="F59" s="797">
        <f t="shared" si="12"/>
        <v>3.7876040827289819</v>
      </c>
      <c r="G59" s="171">
        <f>D59*'Wskazniki emisji paliw'!L$19</f>
        <v>35.719998854400004</v>
      </c>
      <c r="H59" s="169">
        <v>51447</v>
      </c>
      <c r="I59" s="170">
        <v>182756</v>
      </c>
      <c r="J59" s="797">
        <f t="shared" si="13"/>
        <v>3.5523159756642757</v>
      </c>
      <c r="K59" s="171">
        <f>H59*'Wskazniki emisji paliw'!L$18</f>
        <v>137.73517624957856</v>
      </c>
      <c r="L59" s="169"/>
      <c r="M59" s="170"/>
      <c r="N59" s="171">
        <f>L59*'Wskazniki emisji paliw'!$L$28</f>
        <v>0</v>
      </c>
      <c r="O59" s="169"/>
      <c r="P59" s="170"/>
      <c r="Q59" s="171">
        <f>O59*'Wskazniki emisji paliw'!M$29</f>
        <v>0</v>
      </c>
      <c r="R59" s="169"/>
      <c r="S59" s="170"/>
      <c r="T59" s="171">
        <f>R59*'Wskazniki emisji paliw'!L$21</f>
        <v>0</v>
      </c>
      <c r="U59" s="169"/>
      <c r="V59" s="170"/>
      <c r="W59" s="171">
        <f>U59*'Wskazniki emisji paliw'!L$19*(1-W$6)</f>
        <v>0</v>
      </c>
      <c r="X59" s="169"/>
      <c r="Y59" s="170"/>
      <c r="Z59" s="171">
        <f>X59*'Wskazniki emisji paliw'!L$18*(1-Z$6)</f>
        <v>0</v>
      </c>
      <c r="AA59" s="169"/>
      <c r="AB59" s="170"/>
      <c r="AC59" s="171">
        <f>AA59*(HLOOKUP(Ogolne!$D$6,'Wskazniki emisji elektrycznosc'!$B$8:$G$29,Ogolne!$E$7,TRUE))/1000</f>
        <v>0</v>
      </c>
      <c r="AD59" s="145"/>
      <c r="AE59" s="799" t="str">
        <f t="shared" si="6"/>
        <v>Zarząd Dróg Miejskich i Komunikacji Publicznej w Bydgoszczy</v>
      </c>
      <c r="AF59" s="799" t="str">
        <f t="shared" si="7"/>
        <v>ZDMIKP</v>
      </c>
      <c r="AG59" s="172"/>
      <c r="AH59" s="172"/>
      <c r="AI59" s="170"/>
      <c r="AJ59" s="171">
        <f t="shared" si="9"/>
        <v>173.45517510397855</v>
      </c>
      <c r="AK59" s="173" t="str">
        <f t="shared" si="14"/>
        <v/>
      </c>
      <c r="AL59" s="174" t="str">
        <f t="shared" si="15"/>
        <v/>
      </c>
      <c r="AM59" s="175" t="str">
        <f t="shared" si="16"/>
        <v/>
      </c>
      <c r="AN59" s="176" t="str">
        <f t="shared" si="17"/>
        <v/>
      </c>
      <c r="AO59" s="177"/>
      <c r="AP59" s="718" t="s">
        <v>232</v>
      </c>
      <c r="AQ59" s="720"/>
      <c r="AR59" s="177"/>
      <c r="AS59" s="177"/>
      <c r="AT59" s="177"/>
      <c r="AU59" s="177"/>
      <c r="AV59" s="177"/>
      <c r="AW59" s="177"/>
      <c r="AX59" s="177"/>
      <c r="AY59" s="177"/>
      <c r="AZ59" s="177"/>
      <c r="BA59" s="177"/>
      <c r="BB59" s="177"/>
      <c r="BC59" s="177"/>
    </row>
    <row r="60" spans="1:55" s="178" customFormat="1">
      <c r="A60" s="795"/>
      <c r="B60" s="772" t="s">
        <v>211</v>
      </c>
      <c r="C60" s="726" t="s">
        <v>212</v>
      </c>
      <c r="D60" s="169"/>
      <c r="E60" s="170"/>
      <c r="F60" s="797" t="str">
        <f t="shared" si="12"/>
        <v/>
      </c>
      <c r="G60" s="171">
        <f>D60*'Wskazniki emisji paliw'!L$19</f>
        <v>0</v>
      </c>
      <c r="H60" s="169"/>
      <c r="I60" s="170"/>
      <c r="J60" s="797" t="str">
        <f t="shared" si="13"/>
        <v/>
      </c>
      <c r="K60" s="171">
        <f>H60*'Wskazniki emisji paliw'!L$18</f>
        <v>0</v>
      </c>
      <c r="L60" s="169"/>
      <c r="M60" s="170"/>
      <c r="N60" s="171">
        <f>L60*'Wskazniki emisji paliw'!$L$28</f>
        <v>0</v>
      </c>
      <c r="O60" s="169"/>
      <c r="P60" s="170"/>
      <c r="Q60" s="171">
        <f>O60*'Wskazniki emisji paliw'!M$29</f>
        <v>0</v>
      </c>
      <c r="R60" s="169"/>
      <c r="S60" s="170"/>
      <c r="T60" s="171">
        <f>R60*'Wskazniki emisji paliw'!L$21</f>
        <v>0</v>
      </c>
      <c r="U60" s="169"/>
      <c r="V60" s="170"/>
      <c r="W60" s="171">
        <f>U60*'Wskazniki emisji paliw'!L$19*(1-W$6)</f>
        <v>0</v>
      </c>
      <c r="X60" s="169"/>
      <c r="Y60" s="170"/>
      <c r="Z60" s="171">
        <f>X60*'Wskazniki emisji paliw'!L$18*(1-Z$6)</f>
        <v>0</v>
      </c>
      <c r="AA60" s="169"/>
      <c r="AB60" s="170"/>
      <c r="AC60" s="171">
        <f>AA60*(HLOOKUP(Ogolne!$D$6,'Wskazniki emisji elektrycznosc'!$B$8:$G$29,Ogolne!$E$7,TRUE))/1000</f>
        <v>0</v>
      </c>
      <c r="AD60" s="145"/>
      <c r="AE60" s="799" t="str">
        <f t="shared" si="6"/>
        <v xml:space="preserve">Zespół Żłobków Miejskich </v>
      </c>
      <c r="AF60" s="799" t="str">
        <f t="shared" si="7"/>
        <v>ZZM</v>
      </c>
      <c r="AG60" s="172"/>
      <c r="AH60" s="172"/>
      <c r="AI60" s="170">
        <f t="shared" si="18"/>
        <v>0</v>
      </c>
      <c r="AJ60" s="171">
        <f t="shared" si="9"/>
        <v>0</v>
      </c>
      <c r="AK60" s="173" t="str">
        <f t="shared" si="14"/>
        <v/>
      </c>
      <c r="AL60" s="174" t="str">
        <f t="shared" si="15"/>
        <v/>
      </c>
      <c r="AM60" s="175" t="str">
        <f t="shared" si="16"/>
        <v/>
      </c>
      <c r="AN60" s="176" t="str">
        <f t="shared" si="17"/>
        <v/>
      </c>
      <c r="AO60" s="177"/>
      <c r="AP60" s="718"/>
      <c r="AQ60" s="720"/>
      <c r="AR60" s="177"/>
      <c r="AS60" s="177"/>
      <c r="AT60" s="177"/>
      <c r="AU60" s="177"/>
      <c r="AV60" s="177"/>
      <c r="AW60" s="177"/>
      <c r="AX60" s="177"/>
      <c r="AY60" s="177"/>
      <c r="AZ60" s="177"/>
      <c r="BA60" s="177"/>
      <c r="BB60" s="177"/>
      <c r="BC60" s="177"/>
    </row>
    <row r="61" spans="1:55" s="178" customFormat="1">
      <c r="A61" s="795"/>
      <c r="B61" s="772" t="s">
        <v>296</v>
      </c>
      <c r="C61" s="726" t="s">
        <v>297</v>
      </c>
      <c r="D61" s="169"/>
      <c r="E61" s="170"/>
      <c r="F61" s="797" t="str">
        <f t="shared" si="12"/>
        <v/>
      </c>
      <c r="G61" s="171">
        <f>D61*'Wskazniki emisji paliw'!L$19</f>
        <v>0</v>
      </c>
      <c r="H61" s="169"/>
      <c r="I61" s="170"/>
      <c r="J61" s="797" t="str">
        <f t="shared" si="13"/>
        <v/>
      </c>
      <c r="K61" s="171">
        <f>H61*'Wskazniki emisji paliw'!L$18</f>
        <v>0</v>
      </c>
      <c r="L61" s="169"/>
      <c r="M61" s="170"/>
      <c r="N61" s="171">
        <f>L61*'Wskazniki emisji paliw'!$L$28</f>
        <v>0</v>
      </c>
      <c r="O61" s="169"/>
      <c r="P61" s="170"/>
      <c r="Q61" s="171">
        <f>O61*'Wskazniki emisji paliw'!M$29</f>
        <v>0</v>
      </c>
      <c r="R61" s="169"/>
      <c r="S61" s="170"/>
      <c r="T61" s="171">
        <f>R61*'Wskazniki emisji paliw'!L$21</f>
        <v>0</v>
      </c>
      <c r="U61" s="169"/>
      <c r="V61" s="170"/>
      <c r="W61" s="171">
        <f>U61*'Wskazniki emisji paliw'!L$19*(1-W$6)</f>
        <v>0</v>
      </c>
      <c r="X61" s="169"/>
      <c r="Y61" s="170"/>
      <c r="Z61" s="171">
        <f>X61*'Wskazniki emisji paliw'!L$18*(1-Z$6)</f>
        <v>0</v>
      </c>
      <c r="AA61" s="169"/>
      <c r="AB61" s="170"/>
      <c r="AC61" s="171">
        <f>AA61*(HLOOKUP(Ogolne!$D$6,'Wskazniki emisji elektrycznosc'!$B$8:$G$29,Ogolne!$E$7,TRUE))/1000</f>
        <v>0</v>
      </c>
      <c r="AD61" s="145"/>
      <c r="AE61" s="799" t="str">
        <f t="shared" si="6"/>
        <v>Bydgoskie Towarzystwo Żużlowe Polonia</v>
      </c>
      <c r="AF61" s="799" t="str">
        <f t="shared" si="7"/>
        <v>BTZP</v>
      </c>
      <c r="AG61" s="172"/>
      <c r="AH61" s="172"/>
      <c r="AI61" s="170">
        <f t="shared" si="18"/>
        <v>0</v>
      </c>
      <c r="AJ61" s="171">
        <f t="shared" si="9"/>
        <v>0</v>
      </c>
      <c r="AK61" s="173" t="str">
        <f t="shared" si="14"/>
        <v/>
      </c>
      <c r="AL61" s="174" t="str">
        <f t="shared" si="15"/>
        <v/>
      </c>
      <c r="AM61" s="175" t="str">
        <f t="shared" si="16"/>
        <v/>
      </c>
      <c r="AN61" s="176" t="str">
        <f t="shared" si="17"/>
        <v/>
      </c>
      <c r="AO61" s="177"/>
      <c r="AP61" s="718"/>
      <c r="AQ61" s="720"/>
      <c r="AR61" s="177"/>
      <c r="AS61" s="177"/>
      <c r="AT61" s="177"/>
      <c r="AU61" s="177"/>
      <c r="AV61" s="177"/>
      <c r="AW61" s="177"/>
      <c r="AX61" s="177"/>
      <c r="AY61" s="177"/>
      <c r="AZ61" s="177"/>
      <c r="BA61" s="177"/>
      <c r="BB61" s="177"/>
      <c r="BC61" s="177"/>
    </row>
    <row r="62" spans="1:55" s="178" customFormat="1">
      <c r="A62" s="795"/>
      <c r="B62" s="772" t="s">
        <v>306</v>
      </c>
      <c r="C62" s="726" t="s">
        <v>297</v>
      </c>
      <c r="D62" s="169"/>
      <c r="E62" s="170"/>
      <c r="F62" s="797" t="str">
        <f t="shared" si="12"/>
        <v/>
      </c>
      <c r="G62" s="171">
        <f>D62*'Wskazniki emisji paliw'!L$19</f>
        <v>0</v>
      </c>
      <c r="H62" s="169">
        <f>I62/3.84</f>
        <v>1746.09375</v>
      </c>
      <c r="I62" s="170">
        <v>6705</v>
      </c>
      <c r="J62" s="797">
        <f t="shared" si="13"/>
        <v>3.84</v>
      </c>
      <c r="K62" s="171">
        <f>H62*'Wskazniki emisji paliw'!L$18</f>
        <v>4.6746852178851546</v>
      </c>
      <c r="L62" s="169"/>
      <c r="M62" s="170"/>
      <c r="N62" s="171">
        <f>L62*'Wskazniki emisji paliw'!$L$28</f>
        <v>0</v>
      </c>
      <c r="O62" s="169"/>
      <c r="P62" s="170"/>
      <c r="Q62" s="171">
        <f>O62*'Wskazniki emisji paliw'!M$29</f>
        <v>0</v>
      </c>
      <c r="R62" s="169"/>
      <c r="S62" s="170"/>
      <c r="T62" s="171">
        <f>R62*'Wskazniki emisji paliw'!L$21</f>
        <v>0</v>
      </c>
      <c r="U62" s="169"/>
      <c r="V62" s="170"/>
      <c r="W62" s="171">
        <f>U62*'Wskazniki emisji paliw'!L$19*(1-W$6)</f>
        <v>0</v>
      </c>
      <c r="X62" s="169"/>
      <c r="Y62" s="170"/>
      <c r="Z62" s="171">
        <f>X62*'Wskazniki emisji paliw'!L$18*(1-Z$6)</f>
        <v>0</v>
      </c>
      <c r="AA62" s="169"/>
      <c r="AB62" s="170"/>
      <c r="AC62" s="171">
        <f>AA62*(HLOOKUP(Ogolne!$D$6,'Wskazniki emisji elektrycznosc'!$B$8:$G$29,Ogolne!$E$7,TRUE))/1000</f>
        <v>0</v>
      </c>
      <c r="AD62" s="145"/>
      <c r="AE62" s="799" t="str">
        <f t="shared" ref="AE62:AE69" si="19">B62</f>
        <v>Bydgoskie Towarzystwo Żużlowe Polonia - inne</v>
      </c>
      <c r="AF62" s="799" t="str">
        <f t="shared" ref="AF62:AF69" si="20">C62</f>
        <v>BTZP</v>
      </c>
      <c r="AG62" s="172">
        <v>3</v>
      </c>
      <c r="AH62" s="172"/>
      <c r="AI62" s="170">
        <f t="shared" si="18"/>
        <v>6705</v>
      </c>
      <c r="AJ62" s="171">
        <f t="shared" si="9"/>
        <v>4.6746852178851546</v>
      </c>
      <c r="AK62" s="173" t="str">
        <f t="shared" si="14"/>
        <v/>
      </c>
      <c r="AL62" s="174">
        <f t="shared" si="15"/>
        <v>2235</v>
      </c>
      <c r="AM62" s="175" t="str">
        <f t="shared" si="16"/>
        <v/>
      </c>
      <c r="AN62" s="176">
        <f t="shared" si="17"/>
        <v>1.5582284059617182</v>
      </c>
      <c r="AO62" s="177"/>
      <c r="AP62" s="718"/>
      <c r="AQ62" s="720"/>
      <c r="AR62" s="177"/>
      <c r="AS62" s="177"/>
      <c r="AT62" s="177"/>
      <c r="AU62" s="177"/>
      <c r="AV62" s="177"/>
      <c r="AW62" s="177"/>
      <c r="AX62" s="177"/>
      <c r="AY62" s="177"/>
      <c r="AZ62" s="177"/>
      <c r="BA62" s="177"/>
      <c r="BB62" s="177"/>
      <c r="BC62" s="177"/>
    </row>
    <row r="63" spans="1:55" s="178" customFormat="1">
      <c r="A63" s="795"/>
      <c r="B63" s="772" t="s">
        <v>307</v>
      </c>
      <c r="C63" s="726" t="s">
        <v>299</v>
      </c>
      <c r="D63" s="169">
        <v>616</v>
      </c>
      <c r="E63" s="170">
        <v>2273.04</v>
      </c>
      <c r="F63" s="797">
        <f t="shared" si="12"/>
        <v>3.69</v>
      </c>
      <c r="G63" s="171">
        <f>D63*'Wskazniki emisji paliw'!L$19</f>
        <v>1.4775395712000001</v>
      </c>
      <c r="H63" s="169">
        <v>780</v>
      </c>
      <c r="I63" s="170">
        <v>2847</v>
      </c>
      <c r="J63" s="797">
        <f t="shared" si="13"/>
        <v>3.65</v>
      </c>
      <c r="K63" s="171">
        <f>H63*'Wskazniki emisji paliw'!L$18</f>
        <v>2.0882352221639993</v>
      </c>
      <c r="L63" s="169"/>
      <c r="M63" s="170"/>
      <c r="N63" s="171">
        <f>L63*'Wskazniki emisji paliw'!$L$28</f>
        <v>0</v>
      </c>
      <c r="O63" s="169"/>
      <c r="P63" s="170"/>
      <c r="Q63" s="171">
        <f>O63*'Wskazniki emisji paliw'!M$29</f>
        <v>0</v>
      </c>
      <c r="R63" s="169"/>
      <c r="S63" s="170"/>
      <c r="T63" s="171">
        <f>R63*'Wskazniki emisji paliw'!L$21</f>
        <v>0</v>
      </c>
      <c r="U63" s="169"/>
      <c r="V63" s="170"/>
      <c r="W63" s="171">
        <f>U63*'Wskazniki emisji paliw'!L$19*(1-W$6)</f>
        <v>0</v>
      </c>
      <c r="X63" s="169"/>
      <c r="Y63" s="170"/>
      <c r="Z63" s="171">
        <f>X63*'Wskazniki emisji paliw'!L$18*(1-Z$6)</f>
        <v>0</v>
      </c>
      <c r="AA63" s="169"/>
      <c r="AB63" s="170"/>
      <c r="AC63" s="171">
        <f>AA63*(HLOOKUP(Ogolne!$D$6,'Wskazniki emisji elektrycznosc'!$B$8:$G$29,Ogolne!$E$7,TRUE))/1000</f>
        <v>0</v>
      </c>
      <c r="AD63" s="145"/>
      <c r="AE63" s="799" t="str">
        <f t="shared" si="19"/>
        <v>Bydgoski Klub Sportowy Chemik - inne</v>
      </c>
      <c r="AF63" s="799" t="str">
        <f t="shared" si="20"/>
        <v>BKSC</v>
      </c>
      <c r="AG63" s="172">
        <v>3</v>
      </c>
      <c r="AH63" s="172"/>
      <c r="AI63" s="170">
        <f t="shared" si="18"/>
        <v>5120.04</v>
      </c>
      <c r="AJ63" s="171">
        <f t="shared" si="9"/>
        <v>3.5657747933639996</v>
      </c>
      <c r="AK63" s="173" t="str">
        <f t="shared" si="14"/>
        <v/>
      </c>
      <c r="AL63" s="174">
        <f t="shared" si="15"/>
        <v>1706.68</v>
      </c>
      <c r="AM63" s="175" t="str">
        <f t="shared" si="16"/>
        <v/>
      </c>
      <c r="AN63" s="176">
        <f t="shared" si="17"/>
        <v>1.1885915977879999</v>
      </c>
      <c r="AO63" s="177"/>
      <c r="AP63" s="718"/>
      <c r="AQ63" s="720"/>
      <c r="AR63" s="177"/>
      <c r="AS63" s="177"/>
      <c r="AT63" s="177"/>
      <c r="AU63" s="177"/>
      <c r="AV63" s="177"/>
      <c r="AW63" s="177"/>
      <c r="AX63" s="177"/>
      <c r="AY63" s="177"/>
      <c r="AZ63" s="177"/>
      <c r="BA63" s="177"/>
      <c r="BB63" s="177"/>
      <c r="BC63" s="177"/>
    </row>
    <row r="64" spans="1:55" s="178" customFormat="1">
      <c r="A64" s="795"/>
      <c r="B64" s="772" t="s">
        <v>308</v>
      </c>
      <c r="C64" s="726" t="s">
        <v>208</v>
      </c>
      <c r="D64" s="169"/>
      <c r="E64" s="170"/>
      <c r="F64" s="797" t="str">
        <f t="shared" si="12"/>
        <v/>
      </c>
      <c r="G64" s="171">
        <f>D64*'Wskazniki emisji paliw'!L$19</f>
        <v>0</v>
      </c>
      <c r="H64" s="169">
        <v>34130</v>
      </c>
      <c r="I64" s="170">
        <v>122037</v>
      </c>
      <c r="J64" s="797">
        <f t="shared" si="13"/>
        <v>3.5756519191327278</v>
      </c>
      <c r="K64" s="171">
        <f>H64*'Wskazniki emisji paliw'!L$18</f>
        <v>91.373677092893971</v>
      </c>
      <c r="L64" s="169"/>
      <c r="M64" s="170"/>
      <c r="N64" s="171">
        <f>L64*'Wskazniki emisji paliw'!$L$28</f>
        <v>0</v>
      </c>
      <c r="O64" s="169"/>
      <c r="P64" s="170"/>
      <c r="Q64" s="171">
        <f>O64*'Wskazniki emisji paliw'!M$29</f>
        <v>0</v>
      </c>
      <c r="R64" s="169"/>
      <c r="S64" s="170"/>
      <c r="T64" s="171">
        <f>R64*'Wskazniki emisji paliw'!L$21</f>
        <v>0</v>
      </c>
      <c r="U64" s="169"/>
      <c r="V64" s="170"/>
      <c r="W64" s="171">
        <f>U64*'Wskazniki emisji paliw'!L$19*(1-W$6)</f>
        <v>0</v>
      </c>
      <c r="X64" s="169"/>
      <c r="Y64" s="170"/>
      <c r="Z64" s="171">
        <f>X64*'Wskazniki emisji paliw'!L$18*(1-Z$6)</f>
        <v>0</v>
      </c>
      <c r="AA64" s="169"/>
      <c r="AB64" s="170"/>
      <c r="AC64" s="171">
        <f>AA64*(HLOOKUP(Ogolne!$D$6,'Wskazniki emisji elektrycznosc'!$B$8:$G$29,Ogolne!$E$7,TRUE))/1000</f>
        <v>0</v>
      </c>
      <c r="AD64" s="145"/>
      <c r="AE64" s="799" t="str">
        <f t="shared" si="19"/>
        <v>Zarząd Dróg Miejskich i Komunikacji Publicznej w Bydgoszczy - inne</v>
      </c>
      <c r="AF64" s="799" t="str">
        <f t="shared" si="20"/>
        <v>ZDMIKP</v>
      </c>
      <c r="AG64" s="172">
        <v>4</v>
      </c>
      <c r="AH64" s="172"/>
      <c r="AI64" s="170">
        <f t="shared" si="18"/>
        <v>122037</v>
      </c>
      <c r="AJ64" s="171">
        <f t="shared" si="9"/>
        <v>91.373677092893971</v>
      </c>
      <c r="AK64" s="173" t="str">
        <f t="shared" si="14"/>
        <v/>
      </c>
      <c r="AL64" s="174">
        <f t="shared" si="15"/>
        <v>30509.25</v>
      </c>
      <c r="AM64" s="175" t="str">
        <f t="shared" si="16"/>
        <v/>
      </c>
      <c r="AN64" s="176">
        <f t="shared" si="17"/>
        <v>22.843419273223493</v>
      </c>
      <c r="AO64" s="177"/>
      <c r="AP64" s="718"/>
      <c r="AQ64" s="720"/>
      <c r="AR64" s="177"/>
      <c r="AS64" s="177"/>
      <c r="AT64" s="177"/>
      <c r="AU64" s="177"/>
      <c r="AV64" s="177"/>
      <c r="AW64" s="177"/>
      <c r="AX64" s="177"/>
      <c r="AY64" s="177"/>
      <c r="AZ64" s="177"/>
      <c r="BA64" s="177"/>
      <c r="BB64" s="177"/>
      <c r="BC64" s="177"/>
    </row>
    <row r="65" spans="1:55" s="178" customFormat="1">
      <c r="A65" s="145"/>
      <c r="B65" s="727"/>
      <c r="C65" s="726"/>
      <c r="D65" s="169"/>
      <c r="E65" s="170"/>
      <c r="F65" s="797" t="str">
        <f t="shared" si="12"/>
        <v/>
      </c>
      <c r="G65" s="171">
        <f>D65*'Wskazniki emisji paliw'!L$19</f>
        <v>0</v>
      </c>
      <c r="H65" s="169"/>
      <c r="I65" s="170"/>
      <c r="J65" s="797" t="str">
        <f t="shared" si="13"/>
        <v/>
      </c>
      <c r="K65" s="171">
        <f>H65*'Wskazniki emisji paliw'!L$18</f>
        <v>0</v>
      </c>
      <c r="L65" s="169"/>
      <c r="M65" s="170"/>
      <c r="N65" s="171">
        <f>L65*'Wskazniki emisji paliw'!$L$28</f>
        <v>0</v>
      </c>
      <c r="O65" s="169"/>
      <c r="P65" s="170"/>
      <c r="Q65" s="171">
        <f>O65*'Wskazniki emisji paliw'!M$29</f>
        <v>0</v>
      </c>
      <c r="R65" s="169"/>
      <c r="S65" s="170"/>
      <c r="T65" s="171">
        <f>R65*'Wskazniki emisji paliw'!L$21</f>
        <v>0</v>
      </c>
      <c r="U65" s="169"/>
      <c r="V65" s="170"/>
      <c r="W65" s="171">
        <f>U65*'Wskazniki emisji paliw'!L$19*(1-W$6)</f>
        <v>0</v>
      </c>
      <c r="X65" s="169"/>
      <c r="Y65" s="170"/>
      <c r="Z65" s="171">
        <f>X65*'Wskazniki emisji paliw'!L$18*(1-Z$6)</f>
        <v>0</v>
      </c>
      <c r="AA65" s="169"/>
      <c r="AB65" s="170"/>
      <c r="AC65" s="171">
        <f>AA65*(HLOOKUP(Ogolne!$D$6,'Wskazniki emisji elektrycznosc'!$B$8:$G$29,Ogolne!$E$7,TRUE))/1000</f>
        <v>0</v>
      </c>
      <c r="AD65" s="145"/>
      <c r="AE65" s="799">
        <f t="shared" si="19"/>
        <v>0</v>
      </c>
      <c r="AF65" s="799">
        <f t="shared" si="20"/>
        <v>0</v>
      </c>
      <c r="AG65" s="172"/>
      <c r="AH65" s="172"/>
      <c r="AI65" s="170">
        <f t="shared" si="18"/>
        <v>0</v>
      </c>
      <c r="AJ65" s="171">
        <f t="shared" si="9"/>
        <v>0</v>
      </c>
      <c r="AK65" s="173" t="str">
        <f t="shared" si="14"/>
        <v/>
      </c>
      <c r="AL65" s="174" t="str">
        <f t="shared" si="15"/>
        <v/>
      </c>
      <c r="AM65" s="175" t="str">
        <f t="shared" si="16"/>
        <v/>
      </c>
      <c r="AN65" s="176" t="str">
        <f t="shared" si="17"/>
        <v/>
      </c>
      <c r="AO65" s="177"/>
      <c r="AP65" s="718"/>
      <c r="AQ65" s="720"/>
      <c r="AR65" s="177"/>
      <c r="AS65" s="177"/>
      <c r="AT65" s="177"/>
      <c r="AU65" s="177"/>
      <c r="AV65" s="177"/>
      <c r="AW65" s="177"/>
      <c r="AX65" s="177"/>
      <c r="AY65" s="177"/>
      <c r="AZ65" s="177"/>
      <c r="BA65" s="177"/>
      <c r="BB65" s="177"/>
      <c r="BC65" s="177"/>
    </row>
    <row r="66" spans="1:55" s="178" customFormat="1">
      <c r="A66" s="145"/>
      <c r="B66" s="714"/>
      <c r="C66" s="711"/>
      <c r="D66" s="169"/>
      <c r="E66" s="170"/>
      <c r="F66" s="797" t="str">
        <f t="shared" si="12"/>
        <v/>
      </c>
      <c r="G66" s="171">
        <f>D66*'Wskazniki emisji paliw'!L$19</f>
        <v>0</v>
      </c>
      <c r="H66" s="169"/>
      <c r="I66" s="170"/>
      <c r="J66" s="797" t="str">
        <f t="shared" si="13"/>
        <v/>
      </c>
      <c r="K66" s="171">
        <f>H66*'Wskazniki emisji paliw'!L$18</f>
        <v>0</v>
      </c>
      <c r="L66" s="169"/>
      <c r="M66" s="170"/>
      <c r="N66" s="171">
        <f>L66*'Wskazniki emisji paliw'!$L$28</f>
        <v>0</v>
      </c>
      <c r="O66" s="169"/>
      <c r="P66" s="170"/>
      <c r="Q66" s="171">
        <f>O66*'Wskazniki emisji paliw'!M$29</f>
        <v>0</v>
      </c>
      <c r="R66" s="169"/>
      <c r="S66" s="170"/>
      <c r="T66" s="171">
        <f>R66*'Wskazniki emisji paliw'!L$21</f>
        <v>0</v>
      </c>
      <c r="U66" s="169"/>
      <c r="V66" s="170"/>
      <c r="W66" s="171">
        <f>U66*'Wskazniki emisji paliw'!L$19*(1-W$6)</f>
        <v>0</v>
      </c>
      <c r="X66" s="169"/>
      <c r="Y66" s="170"/>
      <c r="Z66" s="171">
        <f>X66*'Wskazniki emisji paliw'!L$18*(1-Z$6)</f>
        <v>0</v>
      </c>
      <c r="AA66" s="169"/>
      <c r="AB66" s="170"/>
      <c r="AC66" s="171">
        <f>AA66*(HLOOKUP(Ogolne!$D$6,'Wskazniki emisji elektrycznosc'!$B$8:$G$29,Ogolne!$E$7,TRUE))/1000</f>
        <v>0</v>
      </c>
      <c r="AD66" s="145"/>
      <c r="AE66" s="799">
        <f t="shared" si="19"/>
        <v>0</v>
      </c>
      <c r="AF66" s="799">
        <f t="shared" si="20"/>
        <v>0</v>
      </c>
      <c r="AG66" s="172"/>
      <c r="AH66" s="172"/>
      <c r="AI66" s="170">
        <f t="shared" si="18"/>
        <v>0</v>
      </c>
      <c r="AJ66" s="171">
        <f t="shared" si="9"/>
        <v>0</v>
      </c>
      <c r="AK66" s="173" t="str">
        <f t="shared" si="14"/>
        <v/>
      </c>
      <c r="AL66" s="174" t="str">
        <f t="shared" si="15"/>
        <v/>
      </c>
      <c r="AM66" s="175" t="str">
        <f t="shared" si="16"/>
        <v/>
      </c>
      <c r="AN66" s="176" t="str">
        <f t="shared" si="17"/>
        <v/>
      </c>
      <c r="AO66" s="177"/>
      <c r="AP66" s="718"/>
      <c r="AQ66" s="720"/>
      <c r="AR66" s="177"/>
      <c r="AS66" s="177"/>
      <c r="AT66" s="177"/>
      <c r="AU66" s="177"/>
      <c r="AV66" s="177"/>
      <c r="AW66" s="177"/>
      <c r="AX66" s="177"/>
      <c r="AY66" s="177"/>
      <c r="AZ66" s="177"/>
      <c r="BA66" s="177"/>
      <c r="BB66" s="177"/>
      <c r="BC66" s="177"/>
    </row>
    <row r="67" spans="1:55" s="178" customFormat="1">
      <c r="A67" s="145"/>
      <c r="B67" s="714"/>
      <c r="C67" s="711"/>
      <c r="D67" s="169"/>
      <c r="E67" s="170"/>
      <c r="F67" s="797" t="str">
        <f t="shared" si="12"/>
        <v/>
      </c>
      <c r="G67" s="171">
        <f>D67*'Wskazniki emisji paliw'!L$19</f>
        <v>0</v>
      </c>
      <c r="H67" s="169"/>
      <c r="I67" s="170"/>
      <c r="J67" s="797" t="str">
        <f t="shared" si="13"/>
        <v/>
      </c>
      <c r="K67" s="171">
        <f>H67*'Wskazniki emisji paliw'!L$18</f>
        <v>0</v>
      </c>
      <c r="L67" s="169"/>
      <c r="M67" s="170"/>
      <c r="N67" s="171">
        <f>L67*'Wskazniki emisji paliw'!$L$28</f>
        <v>0</v>
      </c>
      <c r="O67" s="169"/>
      <c r="P67" s="170"/>
      <c r="Q67" s="171">
        <f>O67*'Wskazniki emisji paliw'!M$29</f>
        <v>0</v>
      </c>
      <c r="R67" s="169"/>
      <c r="S67" s="170"/>
      <c r="T67" s="171">
        <f>R67*'Wskazniki emisji paliw'!L$21</f>
        <v>0</v>
      </c>
      <c r="U67" s="169"/>
      <c r="V67" s="170"/>
      <c r="W67" s="171">
        <f>U67*'Wskazniki emisji paliw'!L$19*(1-W$6)</f>
        <v>0</v>
      </c>
      <c r="X67" s="169"/>
      <c r="Y67" s="170"/>
      <c r="Z67" s="171">
        <f>X67*'Wskazniki emisji paliw'!L$18*(1-Z$6)</f>
        <v>0</v>
      </c>
      <c r="AA67" s="169"/>
      <c r="AB67" s="170"/>
      <c r="AC67" s="171">
        <f>AA67*(HLOOKUP(Ogolne!$D$6,'Wskazniki emisji elektrycznosc'!$B$8:$G$29,Ogolne!$E$7,TRUE))/1000</f>
        <v>0</v>
      </c>
      <c r="AD67" s="145"/>
      <c r="AE67" s="799">
        <f t="shared" si="19"/>
        <v>0</v>
      </c>
      <c r="AF67" s="799">
        <f t="shared" si="20"/>
        <v>0</v>
      </c>
      <c r="AG67" s="172"/>
      <c r="AH67" s="172"/>
      <c r="AI67" s="170">
        <f t="shared" si="18"/>
        <v>0</v>
      </c>
      <c r="AJ67" s="171">
        <f t="shared" si="9"/>
        <v>0</v>
      </c>
      <c r="AK67" s="173" t="str">
        <f t="shared" si="14"/>
        <v/>
      </c>
      <c r="AL67" s="174" t="str">
        <f t="shared" si="15"/>
        <v/>
      </c>
      <c r="AM67" s="175" t="str">
        <f t="shared" si="16"/>
        <v/>
      </c>
      <c r="AN67" s="176" t="str">
        <f t="shared" si="17"/>
        <v/>
      </c>
      <c r="AO67" s="177"/>
      <c r="AP67" s="718"/>
      <c r="AQ67" s="720"/>
      <c r="AR67" s="177"/>
      <c r="AS67" s="177"/>
      <c r="AT67" s="177"/>
      <c r="AU67" s="177"/>
      <c r="AV67" s="177"/>
      <c r="AW67" s="177"/>
      <c r="AX67" s="177"/>
      <c r="AY67" s="177"/>
      <c r="AZ67" s="177"/>
      <c r="BA67" s="177"/>
      <c r="BB67" s="177"/>
      <c r="BC67" s="177"/>
    </row>
    <row r="68" spans="1:55" s="178" customFormat="1">
      <c r="A68" s="145"/>
      <c r="B68" s="727"/>
      <c r="C68" s="726"/>
      <c r="D68" s="169"/>
      <c r="E68" s="170"/>
      <c r="F68" s="797" t="str">
        <f t="shared" si="12"/>
        <v/>
      </c>
      <c r="G68" s="171">
        <f>D68*'Wskazniki emisji paliw'!L$19</f>
        <v>0</v>
      </c>
      <c r="H68" s="169"/>
      <c r="I68" s="170"/>
      <c r="J68" s="797" t="str">
        <f t="shared" si="13"/>
        <v/>
      </c>
      <c r="K68" s="171">
        <f>H68*'Wskazniki emisji paliw'!L$18</f>
        <v>0</v>
      </c>
      <c r="L68" s="169"/>
      <c r="M68" s="170"/>
      <c r="N68" s="171">
        <f>L68*'Wskazniki emisji paliw'!$L$28</f>
        <v>0</v>
      </c>
      <c r="O68" s="169"/>
      <c r="P68" s="170"/>
      <c r="Q68" s="171">
        <f>O68*'Wskazniki emisji paliw'!M$29</f>
        <v>0</v>
      </c>
      <c r="R68" s="169"/>
      <c r="S68" s="170"/>
      <c r="T68" s="171">
        <f>R68*'Wskazniki emisji paliw'!L$21</f>
        <v>0</v>
      </c>
      <c r="U68" s="169"/>
      <c r="V68" s="170"/>
      <c r="W68" s="171">
        <f>U68*'Wskazniki emisji paliw'!L$19*(1-W$6)</f>
        <v>0</v>
      </c>
      <c r="X68" s="169"/>
      <c r="Y68" s="170"/>
      <c r="Z68" s="171">
        <f>X68*'Wskazniki emisji paliw'!L$18*(1-Z$6)</f>
        <v>0</v>
      </c>
      <c r="AA68" s="169"/>
      <c r="AB68" s="170"/>
      <c r="AC68" s="171">
        <f>AA68*(HLOOKUP(Ogolne!$D$6,'Wskazniki emisji elektrycznosc'!$B$8:$G$29,Ogolne!$E$7,TRUE))/1000</f>
        <v>0</v>
      </c>
      <c r="AD68" s="145"/>
      <c r="AE68" s="799">
        <f t="shared" si="19"/>
        <v>0</v>
      </c>
      <c r="AF68" s="799">
        <f t="shared" si="20"/>
        <v>0</v>
      </c>
      <c r="AG68" s="172"/>
      <c r="AH68" s="172"/>
      <c r="AI68" s="170">
        <f t="shared" si="18"/>
        <v>0</v>
      </c>
      <c r="AJ68" s="171">
        <f t="shared" si="9"/>
        <v>0</v>
      </c>
      <c r="AK68" s="173" t="str">
        <f t="shared" si="14"/>
        <v/>
      </c>
      <c r="AL68" s="174" t="str">
        <f t="shared" si="15"/>
        <v/>
      </c>
      <c r="AM68" s="175" t="str">
        <f t="shared" si="16"/>
        <v/>
      </c>
      <c r="AN68" s="176" t="str">
        <f t="shared" si="17"/>
        <v/>
      </c>
      <c r="AO68" s="177"/>
      <c r="AP68" s="718"/>
      <c r="AQ68" s="720"/>
      <c r="AR68" s="177"/>
      <c r="AS68" s="177"/>
      <c r="AT68" s="177"/>
      <c r="AU68" s="177"/>
      <c r="AV68" s="177"/>
      <c r="AW68" s="177"/>
      <c r="AX68" s="177"/>
      <c r="AY68" s="177"/>
      <c r="AZ68" s="177"/>
      <c r="BA68" s="177"/>
      <c r="BB68" s="177"/>
      <c r="BC68" s="177"/>
    </row>
    <row r="69" spans="1:55" s="178" customFormat="1">
      <c r="A69" s="145"/>
      <c r="B69" s="104" t="s">
        <v>441</v>
      </c>
      <c r="C69" s="168"/>
      <c r="D69" s="169"/>
      <c r="E69" s="170"/>
      <c r="F69" s="797" t="str">
        <f t="shared" si="12"/>
        <v/>
      </c>
      <c r="G69" s="171">
        <f>D69*'Wskazniki emisji paliw'!L$19</f>
        <v>0</v>
      </c>
      <c r="H69" s="169"/>
      <c r="I69" s="170"/>
      <c r="J69" s="797" t="str">
        <f t="shared" si="13"/>
        <v/>
      </c>
      <c r="K69" s="171">
        <f>H69*'Wskazniki emisji paliw'!L$18</f>
        <v>0</v>
      </c>
      <c r="L69" s="169"/>
      <c r="M69" s="170"/>
      <c r="N69" s="171">
        <f>L69*'Wskazniki emisji paliw'!$L$28</f>
        <v>0</v>
      </c>
      <c r="O69" s="169"/>
      <c r="P69" s="170"/>
      <c r="Q69" s="171">
        <f>O69*'Wskazniki emisji paliw'!M$29</f>
        <v>0</v>
      </c>
      <c r="R69" s="169"/>
      <c r="S69" s="170"/>
      <c r="T69" s="171">
        <f>R69*'Wskazniki emisji paliw'!L$21</f>
        <v>0</v>
      </c>
      <c r="U69" s="169"/>
      <c r="V69" s="170"/>
      <c r="W69" s="171">
        <f>U69*'Wskazniki emisji paliw'!L$19*(1-W$6)</f>
        <v>0</v>
      </c>
      <c r="X69" s="169"/>
      <c r="Y69" s="170"/>
      <c r="Z69" s="171">
        <f>X69*'Wskazniki emisji paliw'!L$18*(1-Z$6)</f>
        <v>0</v>
      </c>
      <c r="AA69" s="169"/>
      <c r="AB69" s="170"/>
      <c r="AC69" s="171">
        <f>AA69*(HLOOKUP(Ogolne!$D$6,'Wskazniki emisji elektrycznosc'!$B$8:$G$29,Ogolne!$E$7,TRUE))/1000</f>
        <v>0</v>
      </c>
      <c r="AD69" s="145"/>
      <c r="AE69" s="799" t="str">
        <f t="shared" si="19"/>
        <v>Skopiuj i wklej ten wiersz zanim go wypełnisz.</v>
      </c>
      <c r="AF69" s="799">
        <f t="shared" si="20"/>
        <v>0</v>
      </c>
      <c r="AG69" s="172"/>
      <c r="AH69" s="172"/>
      <c r="AI69" s="170">
        <f t="shared" si="18"/>
        <v>0</v>
      </c>
      <c r="AJ69" s="171">
        <f>G69+K69+N69+Q69+T69+W69+Z69+AC69</f>
        <v>0</v>
      </c>
      <c r="AK69" s="173" t="str">
        <f t="shared" si="14"/>
        <v/>
      </c>
      <c r="AL69" s="174" t="str">
        <f t="shared" si="15"/>
        <v/>
      </c>
      <c r="AM69" s="175" t="str">
        <f t="shared" si="16"/>
        <v/>
      </c>
      <c r="AN69" s="176" t="str">
        <f t="shared" si="17"/>
        <v/>
      </c>
      <c r="AO69" s="177"/>
      <c r="AP69" s="718"/>
      <c r="AQ69" s="720"/>
      <c r="AR69" s="177"/>
      <c r="AS69" s="177"/>
      <c r="AT69" s="177"/>
      <c r="AU69" s="177"/>
      <c r="AV69" s="177"/>
      <c r="AW69" s="177"/>
      <c r="AX69" s="177"/>
      <c r="AY69" s="177"/>
      <c r="AZ69" s="177"/>
      <c r="BA69" s="177"/>
      <c r="BB69" s="177"/>
      <c r="BC69" s="177"/>
    </row>
    <row r="70" spans="1:55" s="186" customFormat="1" ht="13.5" thickBot="1">
      <c r="A70" s="145"/>
      <c r="B70" s="179" t="s">
        <v>440</v>
      </c>
      <c r="C70" s="180"/>
      <c r="D70" s="181">
        <f t="shared" ref="D70:AC70" si="21">SUM(D10:D69)</f>
        <v>125524.91000000002</v>
      </c>
      <c r="E70" s="182">
        <f t="shared" si="21"/>
        <v>494551.40229999996</v>
      </c>
      <c r="F70" s="798">
        <f>AVERAGE(F10:F69)</f>
        <v>3.9228859581732989</v>
      </c>
      <c r="G70" s="182">
        <f t="shared" si="21"/>
        <v>301.08445080571204</v>
      </c>
      <c r="H70" s="182">
        <f t="shared" si="21"/>
        <v>7671956.7547500003</v>
      </c>
      <c r="I70" s="182">
        <f t="shared" si="21"/>
        <v>26509649.229200002</v>
      </c>
      <c r="J70" s="798">
        <f>AVERAGE(J10:J69)</f>
        <v>3.474897188698908</v>
      </c>
      <c r="K70" s="182">
        <f t="shared" si="21"/>
        <v>20539.551689984568</v>
      </c>
      <c r="L70" s="182">
        <f t="shared" si="21"/>
        <v>3061</v>
      </c>
      <c r="M70" s="182">
        <f t="shared" si="21"/>
        <v>6061</v>
      </c>
      <c r="N70" s="182">
        <f t="shared" si="21"/>
        <v>21.451926135790913</v>
      </c>
      <c r="O70" s="182">
        <f t="shared" si="21"/>
        <v>0</v>
      </c>
      <c r="P70" s="182">
        <f t="shared" si="21"/>
        <v>0</v>
      </c>
      <c r="Q70" s="182">
        <f t="shared" si="21"/>
        <v>0</v>
      </c>
      <c r="R70" s="182">
        <f t="shared" si="21"/>
        <v>64939.8</v>
      </c>
      <c r="S70" s="182">
        <f t="shared" si="21"/>
        <v>98746.069999999992</v>
      </c>
      <c r="T70" s="182">
        <f t="shared" si="21"/>
        <v>109.43577168239999</v>
      </c>
      <c r="U70" s="182">
        <f t="shared" si="21"/>
        <v>0</v>
      </c>
      <c r="V70" s="182">
        <f t="shared" si="21"/>
        <v>0</v>
      </c>
      <c r="W70" s="182">
        <f t="shared" si="21"/>
        <v>0</v>
      </c>
      <c r="X70" s="182">
        <f t="shared" si="21"/>
        <v>0</v>
      </c>
      <c r="Y70" s="182">
        <f t="shared" si="21"/>
        <v>0</v>
      </c>
      <c r="Z70" s="182">
        <f t="shared" si="21"/>
        <v>0</v>
      </c>
      <c r="AA70" s="182">
        <f t="shared" si="21"/>
        <v>17557775</v>
      </c>
      <c r="AB70" s="182">
        <f t="shared" si="21"/>
        <v>5403862.8799999999</v>
      </c>
      <c r="AC70" s="182">
        <f t="shared" si="21"/>
        <v>17241.735049999999</v>
      </c>
      <c r="AD70" s="145"/>
      <c r="AE70" s="179" t="s">
        <v>440</v>
      </c>
      <c r="AF70" s="180"/>
      <c r="AG70" s="183">
        <f>SUM(AG10:AG69)</f>
        <v>648</v>
      </c>
      <c r="AH70" s="183">
        <f>SUM(AH10:AH69)</f>
        <v>23325524.449999999</v>
      </c>
      <c r="AI70" s="184">
        <f>SUM(AI10:AI69)</f>
        <v>9111745.8715000004</v>
      </c>
      <c r="AJ70" s="184">
        <f>SUM(AJ10:AJ69)</f>
        <v>38213.258888608456</v>
      </c>
      <c r="AK70" s="173">
        <f>AI70/AH70</f>
        <v>0.39063412662089153</v>
      </c>
      <c r="AL70" s="174">
        <f>AI70/AG70</f>
        <v>14061.336221450618</v>
      </c>
      <c r="AM70" s="175">
        <f>AI70/AH70</f>
        <v>0.39063412662089153</v>
      </c>
      <c r="AN70" s="176">
        <f>AJ70/AG70</f>
        <v>58.971078531803172</v>
      </c>
      <c r="AO70" s="185"/>
      <c r="AP70" s="719"/>
      <c r="AQ70" s="721"/>
      <c r="AR70" s="185"/>
      <c r="AS70" s="185"/>
      <c r="AT70" s="185"/>
      <c r="AU70" s="185"/>
      <c r="AV70" s="185"/>
      <c r="AW70" s="185"/>
      <c r="AX70" s="185"/>
      <c r="AY70" s="185"/>
      <c r="AZ70" s="185"/>
      <c r="BA70" s="185"/>
      <c r="BB70" s="185"/>
      <c r="BC70" s="185"/>
    </row>
    <row r="71" spans="1:55">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6"/>
      <c r="AA71" s="145"/>
      <c r="AB71" s="145"/>
      <c r="AC71" s="146"/>
      <c r="AD71" s="145"/>
      <c r="AE71" s="145"/>
      <c r="AF71" s="145"/>
      <c r="AG71" s="146"/>
      <c r="AH71" s="146"/>
      <c r="AI71" s="145"/>
      <c r="AJ71" s="146"/>
      <c r="AK71" s="146"/>
      <c r="AL71" s="146"/>
      <c r="AM71" s="146"/>
      <c r="AN71" s="146"/>
      <c r="AO71" s="146"/>
      <c r="AP71" s="147"/>
      <c r="AQ71" s="146"/>
      <c r="AR71" s="146"/>
      <c r="AS71" s="146"/>
      <c r="AT71" s="146"/>
      <c r="AU71" s="146"/>
      <c r="AV71" s="146"/>
      <c r="AW71" s="146"/>
      <c r="AX71" s="146"/>
      <c r="AY71" s="146"/>
      <c r="AZ71" s="146"/>
      <c r="BA71" s="146"/>
      <c r="BB71" s="146"/>
    </row>
    <row r="72" spans="1:55">
      <c r="A72" s="145"/>
      <c r="B72" s="187" t="s">
        <v>392</v>
      </c>
      <c r="C72" s="188">
        <v>1</v>
      </c>
      <c r="D72" s="145"/>
      <c r="E72" s="145"/>
      <c r="F72" s="145"/>
      <c r="G72" s="145"/>
      <c r="H72" s="145"/>
      <c r="I72" s="145"/>
      <c r="J72" s="145"/>
      <c r="K72" s="145"/>
      <c r="L72" s="145"/>
      <c r="M72" s="145"/>
      <c r="N72" s="145"/>
      <c r="O72" s="145"/>
      <c r="P72" s="145"/>
      <c r="Q72" s="145"/>
      <c r="R72" s="145"/>
      <c r="S72" s="145"/>
      <c r="T72" s="145"/>
      <c r="U72" s="145"/>
      <c r="V72" s="145"/>
      <c r="W72" s="145"/>
      <c r="X72" s="145"/>
      <c r="Y72" s="145"/>
      <c r="Z72" s="146"/>
      <c r="AA72" s="145"/>
      <c r="AB72" s="145"/>
      <c r="AC72" s="146"/>
      <c r="AD72" s="145"/>
      <c r="AE72" s="145"/>
      <c r="AF72" s="145"/>
      <c r="AG72" s="146"/>
      <c r="AH72" s="146"/>
      <c r="AI72" s="145"/>
      <c r="AJ72" s="146"/>
      <c r="AK72" s="146"/>
      <c r="AL72" s="146"/>
      <c r="AM72" s="146"/>
      <c r="AN72" s="146"/>
      <c r="AO72" s="146"/>
      <c r="AP72" s="147"/>
      <c r="AQ72" s="146"/>
      <c r="AR72" s="146"/>
      <c r="AS72" s="146"/>
      <c r="AT72" s="146"/>
      <c r="AU72" s="146"/>
      <c r="AV72" s="146"/>
      <c r="AW72" s="146"/>
      <c r="AX72" s="146"/>
      <c r="AY72" s="146"/>
      <c r="AZ72" s="146"/>
      <c r="BA72" s="146"/>
      <c r="BB72" s="146"/>
    </row>
    <row r="73" spans="1:55">
      <c r="A73" s="145"/>
      <c r="B73" s="145"/>
      <c r="C73" s="188">
        <v>2</v>
      </c>
      <c r="D73" s="145"/>
      <c r="E73" s="145"/>
      <c r="F73" s="145"/>
      <c r="G73" s="145"/>
      <c r="H73" s="145"/>
      <c r="I73" s="145"/>
      <c r="J73" s="145"/>
      <c r="K73" s="145"/>
      <c r="L73" s="145"/>
      <c r="M73" s="145"/>
      <c r="N73" s="145"/>
      <c r="O73" s="145"/>
      <c r="P73" s="145"/>
      <c r="Q73" s="145"/>
      <c r="R73" s="145"/>
      <c r="S73" s="145"/>
      <c r="T73" s="145"/>
      <c r="U73" s="145"/>
      <c r="V73" s="145"/>
      <c r="W73" s="145"/>
      <c r="X73" s="145"/>
      <c r="Y73" s="145"/>
      <c r="Z73" s="146"/>
      <c r="AA73" s="145"/>
      <c r="AB73" s="145"/>
      <c r="AC73" s="146"/>
      <c r="AD73" s="145"/>
      <c r="AE73" s="145"/>
      <c r="AF73" s="145"/>
      <c r="AG73" s="146"/>
      <c r="AH73" s="146"/>
      <c r="AI73" s="145"/>
      <c r="AJ73" s="146"/>
      <c r="AK73" s="146"/>
      <c r="AL73" s="146"/>
      <c r="AM73" s="146"/>
      <c r="AN73" s="146"/>
      <c r="AO73" s="146"/>
      <c r="AP73" s="147"/>
      <c r="AQ73" s="146"/>
      <c r="AR73" s="146"/>
      <c r="AS73" s="146"/>
      <c r="AT73" s="146"/>
      <c r="AU73" s="146"/>
      <c r="AV73" s="146"/>
      <c r="AW73" s="146"/>
      <c r="AX73" s="146"/>
      <c r="AY73" s="146"/>
      <c r="AZ73" s="146"/>
      <c r="BA73" s="146"/>
      <c r="BB73" s="146"/>
    </row>
    <row r="74" spans="1:55">
      <c r="A74" s="145"/>
      <c r="B74" s="145"/>
      <c r="C74" s="188">
        <v>3</v>
      </c>
      <c r="D74" s="145"/>
      <c r="E74" s="145"/>
      <c r="F74" s="145"/>
      <c r="G74" s="145"/>
      <c r="H74" s="145"/>
      <c r="I74" s="145"/>
      <c r="J74" s="145"/>
      <c r="K74" s="145"/>
      <c r="L74" s="145"/>
      <c r="M74" s="145"/>
      <c r="N74" s="145"/>
      <c r="O74" s="145"/>
      <c r="P74" s="145"/>
      <c r="Q74" s="145"/>
      <c r="R74" s="145"/>
      <c r="S74" s="145"/>
      <c r="T74" s="145"/>
      <c r="U74" s="145"/>
      <c r="V74" s="145"/>
      <c r="W74" s="145"/>
      <c r="X74" s="145"/>
      <c r="Y74" s="145"/>
      <c r="Z74" s="146"/>
      <c r="AA74" s="145"/>
      <c r="AB74" s="145"/>
      <c r="AC74" s="146"/>
      <c r="AD74" s="146"/>
      <c r="AE74" s="145"/>
      <c r="AF74" s="145"/>
      <c r="AG74" s="146"/>
      <c r="AH74" s="146"/>
      <c r="AI74" s="145"/>
      <c r="AJ74" s="146"/>
      <c r="AK74" s="146"/>
      <c r="AL74" s="146"/>
      <c r="AM74" s="146"/>
      <c r="AN74" s="146"/>
      <c r="AO74" s="146"/>
      <c r="AP74" s="147"/>
      <c r="AQ74" s="146"/>
      <c r="AR74" s="146"/>
      <c r="AS74" s="146"/>
      <c r="AT74" s="146"/>
      <c r="AU74" s="146"/>
      <c r="AV74" s="146"/>
      <c r="AW74" s="146"/>
      <c r="AX74" s="146"/>
      <c r="AY74" s="146"/>
      <c r="AZ74" s="146"/>
      <c r="BA74" s="146"/>
      <c r="BB74" s="146"/>
    </row>
    <row r="75" spans="1:55">
      <c r="A75" s="145"/>
      <c r="B75" s="145"/>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6"/>
      <c r="AA75" s="145"/>
      <c r="AB75" s="145"/>
      <c r="AC75" s="146"/>
      <c r="AD75" s="146"/>
      <c r="AE75" s="145"/>
      <c r="AF75" s="145"/>
      <c r="AG75" s="146"/>
      <c r="AH75" s="146"/>
      <c r="AI75" s="145"/>
      <c r="AJ75" s="146"/>
      <c r="AK75" s="146"/>
      <c r="AL75" s="146"/>
      <c r="AM75" s="146"/>
      <c r="AN75" s="146"/>
      <c r="AO75" s="146"/>
      <c r="AP75" s="147"/>
      <c r="AQ75" s="146"/>
      <c r="AR75" s="146"/>
      <c r="AS75" s="146"/>
      <c r="AT75" s="146"/>
      <c r="AU75" s="146"/>
      <c r="AV75" s="146"/>
      <c r="AW75" s="146"/>
      <c r="AX75" s="146"/>
      <c r="AY75" s="146"/>
      <c r="AZ75" s="146"/>
      <c r="BA75" s="146"/>
      <c r="BB75" s="146"/>
    </row>
    <row r="76" spans="1:55">
      <c r="A76" s="145"/>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6"/>
      <c r="AA76" s="145"/>
      <c r="AB76" s="145"/>
      <c r="AC76" s="146"/>
      <c r="AD76" s="146"/>
      <c r="AE76" s="145"/>
      <c r="AF76" s="145"/>
      <c r="AG76" s="146"/>
      <c r="AH76" s="146"/>
      <c r="AI76" s="145"/>
      <c r="AJ76" s="146"/>
      <c r="AK76" s="146"/>
      <c r="AL76" s="146"/>
      <c r="AM76" s="146"/>
      <c r="AN76" s="146"/>
      <c r="AO76" s="146"/>
      <c r="AP76" s="147"/>
      <c r="AQ76" s="146"/>
      <c r="AR76" s="146"/>
      <c r="AS76" s="146"/>
      <c r="AT76" s="146"/>
      <c r="AU76" s="146"/>
      <c r="AV76" s="146"/>
      <c r="AW76" s="146"/>
      <c r="AX76" s="146"/>
      <c r="AY76" s="146"/>
      <c r="AZ76" s="146"/>
      <c r="BA76" s="146"/>
      <c r="BB76" s="146"/>
    </row>
    <row r="77" spans="1:55">
      <c r="A77" s="145"/>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6"/>
      <c r="AA77" s="145"/>
      <c r="AB77" s="145"/>
      <c r="AC77" s="146"/>
      <c r="AD77" s="146"/>
      <c r="AE77" s="145"/>
      <c r="AF77" s="145"/>
      <c r="AG77" s="146"/>
      <c r="AH77" s="146"/>
      <c r="AI77" s="145"/>
      <c r="AJ77" s="146"/>
      <c r="AK77" s="146"/>
      <c r="AL77" s="146"/>
      <c r="AM77" s="146"/>
      <c r="AN77" s="146"/>
      <c r="AO77" s="146"/>
      <c r="AP77" s="147"/>
      <c r="AQ77" s="146"/>
      <c r="AR77" s="146"/>
      <c r="AS77" s="146"/>
      <c r="AT77" s="146"/>
      <c r="AU77" s="146"/>
      <c r="AV77" s="146"/>
      <c r="AW77" s="146"/>
      <c r="AX77" s="146"/>
      <c r="AY77" s="146"/>
      <c r="AZ77" s="146"/>
      <c r="BA77" s="146"/>
      <c r="BB77" s="146"/>
    </row>
    <row r="78" spans="1:55">
      <c r="A78" s="145"/>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6"/>
      <c r="AA78" s="145"/>
      <c r="AB78" s="145"/>
      <c r="AC78" s="146"/>
      <c r="AD78" s="146"/>
      <c r="AE78" s="145"/>
      <c r="AF78" s="145"/>
      <c r="AG78" s="146"/>
      <c r="AH78" s="146"/>
      <c r="AI78" s="145"/>
      <c r="AJ78" s="146"/>
      <c r="AK78" s="146"/>
      <c r="AL78" s="146"/>
      <c r="AM78" s="146"/>
      <c r="AN78" s="146"/>
      <c r="AO78" s="146"/>
      <c r="AP78" s="147"/>
      <c r="AQ78" s="146"/>
      <c r="AR78" s="146"/>
      <c r="AS78" s="146"/>
      <c r="AT78" s="146"/>
      <c r="AU78" s="146"/>
      <c r="AV78" s="146"/>
      <c r="AW78" s="146"/>
      <c r="AX78" s="146"/>
      <c r="AY78" s="146"/>
      <c r="AZ78" s="146"/>
      <c r="BA78" s="146"/>
      <c r="BB78" s="146"/>
    </row>
    <row r="79" spans="1:55">
      <c r="A79" s="145"/>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6"/>
      <c r="AA79" s="145"/>
      <c r="AB79" s="145"/>
      <c r="AC79" s="146"/>
      <c r="AD79" s="146"/>
      <c r="AE79" s="145"/>
      <c r="AF79" s="145"/>
      <c r="AG79" s="146"/>
      <c r="AH79" s="146"/>
      <c r="AI79" s="145"/>
      <c r="AJ79" s="146"/>
      <c r="AK79" s="146"/>
      <c r="AL79" s="146"/>
      <c r="AM79" s="146"/>
      <c r="AN79" s="146"/>
      <c r="AO79" s="146"/>
      <c r="AP79" s="147"/>
      <c r="AQ79" s="146"/>
      <c r="AR79" s="146"/>
      <c r="AS79" s="146"/>
      <c r="AT79" s="146"/>
      <c r="AU79" s="146"/>
      <c r="AV79" s="146"/>
      <c r="AW79" s="146"/>
      <c r="AX79" s="146"/>
      <c r="AY79" s="146"/>
      <c r="AZ79" s="146"/>
      <c r="BA79" s="146"/>
      <c r="BB79" s="146"/>
    </row>
    <row r="80" spans="1:55">
      <c r="A80" s="145"/>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6"/>
      <c r="AA80" s="145"/>
      <c r="AB80" s="145"/>
      <c r="AC80" s="146"/>
      <c r="AD80" s="146"/>
      <c r="AE80" s="145"/>
      <c r="AF80" s="145"/>
      <c r="AG80" s="146"/>
      <c r="AH80" s="146"/>
      <c r="AI80" s="145"/>
      <c r="AJ80" s="146"/>
      <c r="AK80" s="146"/>
      <c r="AL80" s="146"/>
      <c r="AM80" s="146"/>
      <c r="AN80" s="146"/>
      <c r="AO80" s="146"/>
      <c r="AP80" s="147"/>
      <c r="AQ80" s="146"/>
      <c r="AR80" s="146"/>
      <c r="AS80" s="146"/>
      <c r="AT80" s="146"/>
      <c r="AU80" s="146"/>
      <c r="AV80" s="146"/>
      <c r="AW80" s="146"/>
      <c r="AX80" s="146"/>
      <c r="AY80" s="146"/>
      <c r="AZ80" s="146"/>
      <c r="BA80" s="146"/>
      <c r="BB80" s="146"/>
    </row>
    <row r="81" spans="1:54">
      <c r="A81" s="145"/>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6"/>
      <c r="AA81" s="145"/>
      <c r="AB81" s="145"/>
      <c r="AC81" s="146"/>
      <c r="AD81" s="146"/>
      <c r="AE81" s="145"/>
      <c r="AF81" s="145"/>
      <c r="AG81" s="146"/>
      <c r="AH81" s="146"/>
      <c r="AI81" s="145"/>
      <c r="AJ81" s="146"/>
      <c r="AK81" s="146"/>
      <c r="AL81" s="146"/>
      <c r="AM81" s="146"/>
      <c r="AN81" s="146"/>
      <c r="AO81" s="146"/>
      <c r="AP81" s="147"/>
      <c r="AQ81" s="146"/>
      <c r="AR81" s="146"/>
      <c r="AS81" s="146"/>
      <c r="AT81" s="146"/>
      <c r="AU81" s="146"/>
      <c r="AV81" s="146"/>
      <c r="AW81" s="146"/>
      <c r="AX81" s="146"/>
      <c r="AY81" s="146"/>
      <c r="AZ81" s="146"/>
      <c r="BA81" s="146"/>
      <c r="BB81" s="146"/>
    </row>
    <row r="82" spans="1:54">
      <c r="A82" s="145"/>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6"/>
      <c r="AA82" s="145"/>
      <c r="AB82" s="145"/>
      <c r="AC82" s="146"/>
      <c r="AD82" s="146"/>
      <c r="AE82" s="145"/>
      <c r="AF82" s="145"/>
      <c r="AG82" s="146"/>
      <c r="AH82" s="146"/>
      <c r="AI82" s="145"/>
      <c r="AJ82" s="146"/>
      <c r="AK82" s="146"/>
      <c r="AL82" s="146"/>
      <c r="AM82" s="146"/>
      <c r="AN82" s="146"/>
      <c r="AO82" s="146"/>
      <c r="AP82" s="147"/>
      <c r="AQ82" s="146"/>
      <c r="AR82" s="146"/>
      <c r="AS82" s="146"/>
      <c r="AT82" s="146"/>
      <c r="AU82" s="146"/>
      <c r="AV82" s="146"/>
      <c r="AW82" s="146"/>
      <c r="AX82" s="146"/>
      <c r="AY82" s="146"/>
      <c r="AZ82" s="146"/>
      <c r="BA82" s="146"/>
      <c r="BB82" s="146"/>
    </row>
    <row r="83" spans="1:54">
      <c r="A83" s="145"/>
      <c r="B83" s="146"/>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6"/>
      <c r="AA83" s="145"/>
      <c r="AB83" s="145"/>
      <c r="AC83" s="146"/>
      <c r="AD83" s="146"/>
      <c r="AE83" s="145"/>
      <c r="AF83" s="145"/>
      <c r="AG83" s="146"/>
      <c r="AH83" s="146"/>
      <c r="AI83" s="145"/>
      <c r="AJ83" s="146"/>
      <c r="AK83" s="146"/>
      <c r="AL83" s="146"/>
      <c r="AM83" s="146"/>
      <c r="AN83" s="146"/>
      <c r="AO83" s="146"/>
      <c r="AP83" s="147"/>
      <c r="AQ83" s="146"/>
      <c r="AR83" s="146"/>
      <c r="AS83" s="146"/>
      <c r="AT83" s="146"/>
      <c r="AU83" s="146"/>
      <c r="AV83" s="146"/>
      <c r="AW83" s="146"/>
      <c r="AX83" s="146"/>
      <c r="AY83" s="146"/>
      <c r="AZ83" s="146"/>
      <c r="BA83" s="146"/>
      <c r="BB83" s="146"/>
    </row>
    <row r="84" spans="1:54">
      <c r="A84" s="145"/>
      <c r="B84" s="146"/>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6"/>
      <c r="AA84" s="145"/>
      <c r="AB84" s="145"/>
      <c r="AC84" s="146"/>
      <c r="AD84" s="146"/>
      <c r="AE84" s="145"/>
      <c r="AF84" s="145"/>
      <c r="AG84" s="146"/>
      <c r="AH84" s="146"/>
      <c r="AI84" s="145"/>
      <c r="AJ84" s="146"/>
      <c r="AK84" s="146"/>
      <c r="AL84" s="146"/>
      <c r="AM84" s="146"/>
      <c r="AN84" s="146"/>
      <c r="AO84" s="146"/>
      <c r="AP84" s="147"/>
      <c r="AQ84" s="146"/>
      <c r="AR84" s="146"/>
      <c r="AS84" s="146"/>
      <c r="AT84" s="146"/>
      <c r="AU84" s="146"/>
      <c r="AV84" s="146"/>
      <c r="AW84" s="146"/>
      <c r="AX84" s="146"/>
      <c r="AY84" s="146"/>
      <c r="AZ84" s="146"/>
      <c r="BA84" s="146"/>
      <c r="BB84" s="146"/>
    </row>
    <row r="85" spans="1:54">
      <c r="A85" s="145"/>
      <c r="B85" s="146"/>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6"/>
      <c r="AA85" s="145"/>
      <c r="AB85" s="145"/>
      <c r="AC85" s="146"/>
      <c r="AD85" s="146"/>
      <c r="AE85" s="145"/>
      <c r="AF85" s="145"/>
      <c r="AG85" s="146"/>
      <c r="AH85" s="146"/>
      <c r="AI85" s="145"/>
      <c r="AJ85" s="146"/>
      <c r="AK85" s="146"/>
      <c r="AL85" s="146"/>
      <c r="AM85" s="146"/>
      <c r="AN85" s="146"/>
      <c r="AO85" s="146"/>
      <c r="AP85" s="147"/>
      <c r="AQ85" s="146"/>
      <c r="AR85" s="146"/>
      <c r="AS85" s="146"/>
      <c r="AT85" s="146"/>
      <c r="AU85" s="146"/>
      <c r="AV85" s="146"/>
      <c r="AW85" s="146"/>
      <c r="AX85" s="146"/>
      <c r="AY85" s="146"/>
      <c r="AZ85" s="146"/>
      <c r="BA85" s="146"/>
      <c r="BB85" s="146"/>
    </row>
    <row r="86" spans="1:54">
      <c r="A86" s="145"/>
      <c r="B86" s="146"/>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6"/>
      <c r="AA86" s="145"/>
      <c r="AB86" s="145"/>
      <c r="AC86" s="146"/>
      <c r="AD86" s="146"/>
      <c r="AE86" s="145"/>
      <c r="AF86" s="145"/>
      <c r="AG86" s="146"/>
      <c r="AH86" s="146"/>
      <c r="AI86" s="145"/>
      <c r="AJ86" s="146"/>
      <c r="AK86" s="146"/>
      <c r="AL86" s="146"/>
      <c r="AM86" s="146"/>
      <c r="AN86" s="146"/>
      <c r="AO86" s="146"/>
      <c r="AP86" s="147"/>
      <c r="AQ86" s="146"/>
      <c r="AR86" s="146"/>
      <c r="AS86" s="146"/>
      <c r="AT86" s="146"/>
      <c r="AU86" s="146"/>
      <c r="AV86" s="146"/>
      <c r="AW86" s="146"/>
      <c r="AX86" s="146"/>
      <c r="AY86" s="146"/>
      <c r="AZ86" s="146"/>
      <c r="BA86" s="146"/>
      <c r="BB86" s="146"/>
    </row>
    <row r="87" spans="1:54">
      <c r="A87" s="145"/>
      <c r="B87" s="146"/>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6"/>
      <c r="AA87" s="145"/>
      <c r="AB87" s="145"/>
      <c r="AC87" s="146"/>
      <c r="AD87" s="146"/>
      <c r="AE87" s="145"/>
      <c r="AF87" s="145"/>
      <c r="AG87" s="146"/>
      <c r="AH87" s="146"/>
      <c r="AI87" s="145"/>
      <c r="AJ87" s="146"/>
      <c r="AK87" s="146"/>
      <c r="AL87" s="146"/>
      <c r="AM87" s="146"/>
      <c r="AN87" s="146"/>
      <c r="AO87" s="146"/>
      <c r="AP87" s="147"/>
      <c r="AQ87" s="146"/>
      <c r="AR87" s="146"/>
      <c r="AS87" s="146"/>
      <c r="AT87" s="146"/>
      <c r="AU87" s="146"/>
      <c r="AV87" s="146"/>
      <c r="AW87" s="146"/>
      <c r="AX87" s="146"/>
      <c r="AY87" s="146"/>
      <c r="AZ87" s="146"/>
      <c r="BA87" s="146"/>
      <c r="BB87" s="146"/>
    </row>
    <row r="88" spans="1:54">
      <c r="B88" s="146"/>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6"/>
      <c r="AA88" s="145"/>
      <c r="AB88" s="145"/>
      <c r="AC88" s="146"/>
      <c r="AD88" s="146"/>
      <c r="AE88" s="145"/>
      <c r="AF88" s="145"/>
      <c r="AG88" s="146"/>
      <c r="AH88" s="146"/>
      <c r="AI88" s="145"/>
      <c r="AJ88" s="146"/>
      <c r="AK88" s="146"/>
      <c r="AL88" s="146"/>
      <c r="AM88" s="146"/>
      <c r="AN88" s="146"/>
      <c r="AO88" s="146"/>
      <c r="AP88" s="147"/>
      <c r="AQ88" s="146"/>
      <c r="AR88" s="146"/>
      <c r="AS88" s="146"/>
      <c r="AT88" s="146"/>
      <c r="AU88" s="146"/>
      <c r="AV88" s="146"/>
      <c r="AW88" s="146"/>
      <c r="AX88" s="146"/>
      <c r="AY88" s="146"/>
      <c r="AZ88" s="146"/>
      <c r="BA88" s="146"/>
      <c r="BB88" s="146"/>
    </row>
    <row r="89" spans="1:54">
      <c r="B89" s="146"/>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6"/>
      <c r="AA89" s="145"/>
      <c r="AB89" s="145"/>
      <c r="AC89" s="146"/>
      <c r="AD89" s="146"/>
      <c r="AE89" s="145"/>
      <c r="AF89" s="145"/>
      <c r="AG89" s="146"/>
      <c r="AH89" s="146"/>
      <c r="AI89" s="145"/>
      <c r="AJ89" s="146"/>
      <c r="AK89" s="146"/>
      <c r="AL89" s="146"/>
      <c r="AM89" s="146"/>
      <c r="AN89" s="146"/>
      <c r="AO89" s="146"/>
      <c r="AP89" s="147"/>
      <c r="AQ89" s="146"/>
      <c r="AR89" s="146"/>
      <c r="AS89" s="146"/>
      <c r="AT89" s="146"/>
      <c r="AU89" s="146"/>
      <c r="AV89" s="146"/>
      <c r="AW89" s="146"/>
      <c r="AX89" s="146"/>
      <c r="AY89" s="146"/>
      <c r="AZ89" s="146"/>
      <c r="BA89" s="146"/>
      <c r="BB89" s="146"/>
    </row>
    <row r="90" spans="1:54">
      <c r="B90" s="146"/>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6"/>
      <c r="AA90" s="145"/>
      <c r="AB90" s="145"/>
      <c r="AC90" s="146"/>
      <c r="AD90" s="146"/>
      <c r="AE90" s="145"/>
      <c r="AF90" s="145"/>
      <c r="AG90" s="146"/>
      <c r="AH90" s="146"/>
      <c r="AI90" s="145"/>
      <c r="AJ90" s="146"/>
      <c r="AK90" s="146"/>
      <c r="AL90" s="146"/>
      <c r="AM90" s="146"/>
      <c r="AN90" s="146"/>
      <c r="AO90" s="146"/>
      <c r="AP90" s="147"/>
      <c r="AQ90" s="146"/>
      <c r="AR90" s="146"/>
      <c r="AS90" s="146"/>
      <c r="AT90" s="146"/>
      <c r="AU90" s="146"/>
      <c r="AV90" s="146"/>
      <c r="AW90" s="146"/>
      <c r="AX90" s="146"/>
      <c r="AY90" s="146"/>
      <c r="AZ90" s="146"/>
      <c r="BA90" s="146"/>
      <c r="BB90" s="146"/>
    </row>
    <row r="91" spans="1:54">
      <c r="B91" s="146"/>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6"/>
      <c r="AA91" s="145"/>
      <c r="AB91" s="145"/>
      <c r="AC91" s="146"/>
      <c r="AD91" s="146"/>
      <c r="AE91" s="145"/>
      <c r="AF91" s="145"/>
      <c r="AG91" s="146"/>
      <c r="AH91" s="146"/>
      <c r="AI91" s="145"/>
      <c r="AJ91" s="146"/>
      <c r="AK91" s="146"/>
      <c r="AL91" s="146"/>
      <c r="AM91" s="146"/>
      <c r="AN91" s="146"/>
      <c r="AO91" s="146"/>
      <c r="AP91" s="147"/>
      <c r="AQ91" s="146"/>
      <c r="AR91" s="146"/>
      <c r="AS91" s="146"/>
      <c r="AT91" s="146"/>
      <c r="AU91" s="146"/>
      <c r="AV91" s="146"/>
      <c r="AW91" s="146"/>
      <c r="AX91" s="146"/>
      <c r="AY91" s="146"/>
      <c r="AZ91" s="146"/>
      <c r="BA91" s="146"/>
      <c r="BB91" s="146"/>
    </row>
    <row r="92" spans="1:54">
      <c r="B92" s="146"/>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6"/>
      <c r="AA92" s="145"/>
      <c r="AB92" s="145"/>
      <c r="AC92" s="146"/>
      <c r="AD92" s="146"/>
      <c r="AE92" s="145"/>
      <c r="AF92" s="145"/>
      <c r="AG92" s="146"/>
      <c r="AH92" s="146"/>
      <c r="AI92" s="145"/>
      <c r="AJ92" s="146"/>
      <c r="AK92" s="146"/>
      <c r="AL92" s="146"/>
      <c r="AM92" s="146"/>
      <c r="AN92" s="146"/>
      <c r="AO92" s="146"/>
      <c r="AP92" s="147"/>
      <c r="AQ92" s="146"/>
      <c r="AR92" s="146"/>
      <c r="AS92" s="146"/>
      <c r="AT92" s="146"/>
      <c r="AU92" s="146"/>
      <c r="AV92" s="146"/>
      <c r="AW92" s="146"/>
      <c r="AX92" s="146"/>
      <c r="AY92" s="146"/>
      <c r="AZ92" s="146"/>
      <c r="BA92" s="146"/>
      <c r="BB92" s="146"/>
    </row>
    <row r="93" spans="1:54">
      <c r="B93" s="146"/>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6"/>
      <c r="AA93" s="145"/>
      <c r="AB93" s="145"/>
      <c r="AC93" s="146"/>
      <c r="AD93" s="146"/>
      <c r="AE93" s="145"/>
      <c r="AF93" s="145"/>
      <c r="AG93" s="146"/>
      <c r="AH93" s="146"/>
      <c r="AI93" s="145"/>
      <c r="AJ93" s="146"/>
      <c r="AK93" s="146"/>
      <c r="AL93" s="146"/>
      <c r="AM93" s="146"/>
      <c r="AN93" s="146"/>
      <c r="AO93" s="146"/>
      <c r="AP93" s="147"/>
      <c r="AQ93" s="146"/>
      <c r="AR93" s="146"/>
      <c r="AS93" s="146"/>
      <c r="AT93" s="146"/>
      <c r="AU93" s="146"/>
      <c r="AV93" s="146"/>
      <c r="AW93" s="146"/>
      <c r="AX93" s="146"/>
      <c r="AY93" s="146"/>
      <c r="AZ93" s="146"/>
      <c r="BA93" s="146"/>
      <c r="BB93" s="146"/>
    </row>
    <row r="94" spans="1:54">
      <c r="B94" s="146"/>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6"/>
      <c r="AA94" s="145"/>
      <c r="AB94" s="145"/>
      <c r="AC94" s="146"/>
      <c r="AD94" s="146"/>
      <c r="AE94" s="145"/>
      <c r="AF94" s="145"/>
      <c r="AG94" s="146"/>
      <c r="AH94" s="146"/>
      <c r="AI94" s="145"/>
      <c r="AJ94" s="146"/>
      <c r="AK94" s="146"/>
      <c r="AL94" s="146"/>
      <c r="AM94" s="146"/>
      <c r="AN94" s="146"/>
      <c r="AO94" s="146"/>
      <c r="AP94" s="147"/>
      <c r="AQ94" s="146"/>
      <c r="AR94" s="146"/>
      <c r="AS94" s="146"/>
      <c r="AT94" s="146"/>
      <c r="AU94" s="146"/>
      <c r="AV94" s="146"/>
      <c r="AW94" s="146"/>
      <c r="AX94" s="146"/>
      <c r="AY94" s="146"/>
      <c r="AZ94" s="146"/>
      <c r="BA94" s="146"/>
      <c r="BB94" s="146"/>
    </row>
    <row r="95" spans="1:54">
      <c r="B95" s="146"/>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6"/>
      <c r="AA95" s="145"/>
      <c r="AB95" s="145"/>
      <c r="AC95" s="146"/>
      <c r="AD95" s="146"/>
      <c r="AE95" s="145"/>
      <c r="AF95" s="145"/>
      <c r="AG95" s="146"/>
      <c r="AH95" s="146"/>
      <c r="AI95" s="145"/>
      <c r="AJ95" s="146"/>
      <c r="AK95" s="146"/>
      <c r="AL95" s="146"/>
      <c r="AM95" s="146"/>
      <c r="AN95" s="146"/>
      <c r="AO95" s="146"/>
      <c r="AP95" s="147"/>
      <c r="AQ95" s="146"/>
      <c r="AR95" s="146"/>
      <c r="AS95" s="146"/>
      <c r="AT95" s="146"/>
      <c r="AU95" s="146"/>
      <c r="AV95" s="146"/>
      <c r="AW95" s="146"/>
      <c r="AX95" s="146"/>
      <c r="AY95" s="146"/>
      <c r="AZ95" s="146"/>
      <c r="BA95" s="146"/>
      <c r="BB95" s="146"/>
    </row>
    <row r="96" spans="1:54">
      <c r="B96" s="146"/>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6"/>
      <c r="AA96" s="145"/>
      <c r="AB96" s="145"/>
      <c r="AC96" s="146"/>
      <c r="AD96" s="146"/>
      <c r="AE96" s="145"/>
      <c r="AF96" s="145"/>
      <c r="AG96" s="146"/>
      <c r="AH96" s="146"/>
      <c r="AI96" s="145"/>
      <c r="AJ96" s="146"/>
      <c r="AK96" s="146"/>
      <c r="AL96" s="146"/>
      <c r="AM96" s="146"/>
      <c r="AN96" s="146"/>
      <c r="AO96" s="146"/>
      <c r="AP96" s="147"/>
      <c r="AQ96" s="146"/>
      <c r="AR96" s="146"/>
      <c r="AS96" s="146"/>
      <c r="AT96" s="146"/>
      <c r="AU96" s="146"/>
      <c r="AV96" s="146"/>
      <c r="AW96" s="146"/>
      <c r="AX96" s="146"/>
      <c r="AY96" s="146"/>
      <c r="AZ96" s="146"/>
      <c r="BA96" s="146"/>
      <c r="BB96" s="146"/>
    </row>
    <row r="97" spans="2:54">
      <c r="B97" s="146"/>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6"/>
      <c r="AA97" s="145"/>
      <c r="AB97" s="145"/>
      <c r="AC97" s="146"/>
      <c r="AD97" s="146"/>
      <c r="AE97" s="145"/>
      <c r="AF97" s="145"/>
      <c r="AG97" s="146"/>
      <c r="AH97" s="146"/>
      <c r="AI97" s="145"/>
      <c r="AJ97" s="146"/>
      <c r="AK97" s="146"/>
      <c r="AL97" s="146"/>
      <c r="AM97" s="146"/>
      <c r="AN97" s="146"/>
      <c r="AO97" s="146"/>
      <c r="AP97" s="147"/>
      <c r="AQ97" s="146"/>
      <c r="AR97" s="146"/>
      <c r="AS97" s="146"/>
      <c r="AT97" s="146"/>
      <c r="AU97" s="146"/>
      <c r="AV97" s="146"/>
      <c r="AW97" s="146"/>
      <c r="AX97" s="146"/>
      <c r="AY97" s="146"/>
      <c r="AZ97" s="146"/>
      <c r="BA97" s="146"/>
      <c r="BB97" s="146"/>
    </row>
    <row r="98" spans="2:54">
      <c r="B98" s="146"/>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6"/>
      <c r="AA98" s="145"/>
      <c r="AB98" s="145"/>
      <c r="AC98" s="146"/>
      <c r="AD98" s="146"/>
      <c r="AE98" s="145"/>
      <c r="AF98" s="145"/>
      <c r="AG98" s="146"/>
      <c r="AH98" s="146"/>
      <c r="AI98" s="145"/>
      <c r="AJ98" s="146"/>
      <c r="AK98" s="146"/>
      <c r="AL98" s="146"/>
      <c r="AM98" s="146"/>
      <c r="AN98" s="146"/>
      <c r="AO98" s="146"/>
      <c r="AP98" s="147"/>
      <c r="AQ98" s="146"/>
      <c r="AR98" s="146"/>
      <c r="AS98" s="146"/>
      <c r="AT98" s="146"/>
      <c r="AU98" s="146"/>
      <c r="AV98" s="146"/>
      <c r="AW98" s="146"/>
      <c r="AX98" s="146"/>
      <c r="AY98" s="146"/>
      <c r="AZ98" s="146"/>
      <c r="BA98" s="146"/>
      <c r="BB98" s="146"/>
    </row>
    <row r="99" spans="2:54">
      <c r="B99" s="146"/>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6"/>
      <c r="AA99" s="145"/>
      <c r="AB99" s="145"/>
      <c r="AC99" s="146"/>
      <c r="AD99" s="146"/>
      <c r="AE99" s="145"/>
      <c r="AF99" s="145"/>
      <c r="AG99" s="146"/>
      <c r="AH99" s="146"/>
      <c r="AI99" s="145"/>
      <c r="AJ99" s="146"/>
      <c r="AK99" s="146"/>
      <c r="AL99" s="146"/>
      <c r="AM99" s="146"/>
      <c r="AN99" s="146"/>
      <c r="AO99" s="146"/>
      <c r="AP99" s="147"/>
      <c r="AQ99" s="146"/>
      <c r="AR99" s="146"/>
      <c r="AS99" s="146"/>
      <c r="AT99" s="146"/>
      <c r="AU99" s="146"/>
      <c r="AV99" s="146"/>
      <c r="AW99" s="146"/>
      <c r="AX99" s="146"/>
      <c r="AY99" s="146"/>
      <c r="AZ99" s="146"/>
      <c r="BA99" s="146"/>
      <c r="BB99" s="146"/>
    </row>
    <row r="100" spans="2:54">
      <c r="B100" s="146"/>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6"/>
      <c r="AA100" s="145"/>
      <c r="AB100" s="145"/>
      <c r="AC100" s="146"/>
      <c r="AD100" s="146"/>
      <c r="AE100" s="145"/>
      <c r="AF100" s="145"/>
      <c r="AG100" s="146"/>
      <c r="AH100" s="146"/>
      <c r="AI100" s="145"/>
      <c r="AJ100" s="146"/>
      <c r="AK100" s="146"/>
      <c r="AL100" s="146"/>
      <c r="AM100" s="146"/>
      <c r="AN100" s="146"/>
      <c r="AO100" s="146"/>
      <c r="AP100" s="147"/>
      <c r="AQ100" s="146"/>
      <c r="AR100" s="146"/>
      <c r="AS100" s="146"/>
      <c r="AT100" s="146"/>
      <c r="AU100" s="146"/>
      <c r="AV100" s="146"/>
      <c r="AW100" s="146"/>
      <c r="AX100" s="146"/>
      <c r="AY100" s="146"/>
      <c r="AZ100" s="146"/>
      <c r="BA100" s="146"/>
      <c r="BB100" s="146"/>
    </row>
    <row r="101" spans="2:54">
      <c r="B101" s="146"/>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6"/>
      <c r="AA101" s="145"/>
      <c r="AB101" s="145"/>
      <c r="AC101" s="146"/>
      <c r="AD101" s="146"/>
      <c r="AE101" s="145"/>
      <c r="AF101" s="145"/>
      <c r="AG101" s="146"/>
      <c r="AH101" s="146"/>
      <c r="AI101" s="145"/>
      <c r="AJ101" s="146"/>
      <c r="AK101" s="146"/>
      <c r="AL101" s="146"/>
      <c r="AM101" s="146"/>
      <c r="AN101" s="146"/>
      <c r="AO101" s="146"/>
      <c r="AP101" s="147"/>
      <c r="AQ101" s="146"/>
      <c r="AR101" s="146"/>
      <c r="AS101" s="146"/>
      <c r="AT101" s="146"/>
      <c r="AU101" s="146"/>
      <c r="AV101" s="146"/>
      <c r="AW101" s="146"/>
      <c r="AX101" s="146"/>
      <c r="AY101" s="146"/>
      <c r="AZ101" s="146"/>
      <c r="BA101" s="146"/>
      <c r="BB101" s="146"/>
    </row>
    <row r="102" spans="2:54">
      <c r="B102" s="146"/>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6"/>
      <c r="AA102" s="145"/>
      <c r="AB102" s="145"/>
      <c r="AC102" s="146"/>
      <c r="AD102" s="146"/>
      <c r="AE102" s="145"/>
      <c r="AF102" s="145"/>
      <c r="AG102" s="146"/>
      <c r="AH102" s="146"/>
      <c r="AI102" s="145"/>
      <c r="AJ102" s="146"/>
      <c r="AK102" s="146"/>
      <c r="AL102" s="146"/>
      <c r="AM102" s="146"/>
      <c r="AN102" s="146"/>
      <c r="AO102" s="146"/>
      <c r="AP102" s="147"/>
      <c r="AQ102" s="146"/>
      <c r="AR102" s="146"/>
      <c r="AS102" s="146"/>
      <c r="AT102" s="146"/>
      <c r="AU102" s="146"/>
      <c r="AV102" s="146"/>
      <c r="AW102" s="146"/>
      <c r="AX102" s="146"/>
      <c r="AY102" s="146"/>
      <c r="AZ102" s="146"/>
      <c r="BA102" s="146"/>
      <c r="BB102" s="146"/>
    </row>
    <row r="103" spans="2:54">
      <c r="B103" s="146"/>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6"/>
      <c r="AA103" s="145"/>
      <c r="AB103" s="145"/>
      <c r="AC103" s="146"/>
      <c r="AD103" s="146"/>
      <c r="AE103" s="145"/>
      <c r="AF103" s="145"/>
      <c r="AG103" s="146"/>
      <c r="AH103" s="146"/>
      <c r="AI103" s="145"/>
      <c r="AJ103" s="146"/>
      <c r="AK103" s="146"/>
      <c r="AL103" s="146"/>
      <c r="AM103" s="146"/>
      <c r="AN103" s="146"/>
      <c r="AO103" s="146"/>
      <c r="AP103" s="147"/>
      <c r="AQ103" s="146"/>
      <c r="AR103" s="146"/>
      <c r="AS103" s="146"/>
      <c r="AT103" s="146"/>
      <c r="AU103" s="146"/>
      <c r="AV103" s="146"/>
      <c r="AW103" s="146"/>
      <c r="AX103" s="146"/>
      <c r="AY103" s="146"/>
      <c r="AZ103" s="146"/>
      <c r="BA103" s="146"/>
      <c r="BB103" s="146"/>
    </row>
    <row r="104" spans="2:54">
      <c r="B104" s="146"/>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6"/>
      <c r="AA104" s="145"/>
      <c r="AB104" s="145"/>
      <c r="AC104" s="146"/>
      <c r="AD104" s="146"/>
      <c r="AE104" s="145"/>
      <c r="AF104" s="145"/>
      <c r="AG104" s="146"/>
      <c r="AH104" s="146"/>
      <c r="AI104" s="145"/>
      <c r="AJ104" s="146"/>
      <c r="AK104" s="146"/>
      <c r="AL104" s="146"/>
      <c r="AM104" s="146"/>
      <c r="AN104" s="146"/>
      <c r="AO104" s="146"/>
      <c r="AP104" s="147"/>
      <c r="AQ104" s="146"/>
      <c r="AR104" s="146"/>
      <c r="AS104" s="146"/>
      <c r="AT104" s="146"/>
      <c r="AU104" s="146"/>
      <c r="AV104" s="146"/>
      <c r="AW104" s="146"/>
      <c r="AX104" s="146"/>
      <c r="AY104" s="146"/>
      <c r="AZ104" s="146"/>
      <c r="BA104" s="146"/>
      <c r="BB104" s="146"/>
    </row>
    <row r="105" spans="2:54">
      <c r="B105" s="146"/>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6"/>
      <c r="AA105" s="145"/>
      <c r="AB105" s="145"/>
      <c r="AC105" s="146"/>
      <c r="AD105" s="146"/>
      <c r="AE105" s="145"/>
      <c r="AF105" s="145"/>
      <c r="AG105" s="146"/>
      <c r="AH105" s="146"/>
      <c r="AI105" s="145"/>
      <c r="AJ105" s="146"/>
      <c r="AK105" s="146"/>
      <c r="AL105" s="146"/>
      <c r="AM105" s="146"/>
      <c r="AN105" s="146"/>
      <c r="AO105" s="146"/>
      <c r="AP105" s="147"/>
      <c r="AQ105" s="146"/>
      <c r="AR105" s="146"/>
      <c r="AS105" s="146"/>
      <c r="AT105" s="146"/>
      <c r="AU105" s="146"/>
      <c r="AV105" s="146"/>
      <c r="AW105" s="146"/>
      <c r="AX105" s="146"/>
      <c r="AY105" s="146"/>
      <c r="AZ105" s="146"/>
      <c r="BA105" s="146"/>
      <c r="BB105" s="146"/>
    </row>
    <row r="106" spans="2:54">
      <c r="B106" s="146"/>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6"/>
      <c r="AA106" s="145"/>
      <c r="AB106" s="145"/>
      <c r="AC106" s="146"/>
      <c r="AD106" s="146"/>
      <c r="AE106" s="145"/>
      <c r="AF106" s="145"/>
      <c r="AG106" s="146"/>
      <c r="AH106" s="146"/>
      <c r="AI106" s="145"/>
      <c r="AJ106" s="146"/>
      <c r="AK106" s="146"/>
      <c r="AL106" s="146"/>
      <c r="AM106" s="146"/>
      <c r="AN106" s="146"/>
      <c r="AO106" s="146"/>
      <c r="AP106" s="147"/>
      <c r="AQ106" s="146"/>
      <c r="AR106" s="146"/>
      <c r="AS106" s="146"/>
      <c r="AT106" s="146"/>
      <c r="AU106" s="146"/>
      <c r="AV106" s="146"/>
      <c r="AW106" s="146"/>
      <c r="AX106" s="146"/>
      <c r="AY106" s="146"/>
      <c r="AZ106" s="146"/>
      <c r="BA106" s="146"/>
      <c r="BB106" s="146"/>
    </row>
    <row r="107" spans="2:54">
      <c r="B107" s="146"/>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6"/>
      <c r="AA107" s="145"/>
      <c r="AB107" s="145"/>
      <c r="AC107" s="146"/>
      <c r="AD107" s="146"/>
      <c r="AE107" s="145"/>
      <c r="AF107" s="145"/>
      <c r="AG107" s="146"/>
      <c r="AH107" s="146"/>
      <c r="AI107" s="145"/>
      <c r="AJ107" s="146"/>
      <c r="AK107" s="146"/>
      <c r="AL107" s="146"/>
      <c r="AM107" s="146"/>
      <c r="AN107" s="146"/>
      <c r="AO107" s="146"/>
      <c r="AP107" s="147"/>
      <c r="AQ107" s="146"/>
      <c r="AR107" s="146"/>
      <c r="AS107" s="146"/>
      <c r="AT107" s="146"/>
      <c r="AU107" s="146"/>
      <c r="AV107" s="146"/>
      <c r="AW107" s="146"/>
      <c r="AX107" s="146"/>
      <c r="AY107" s="146"/>
      <c r="AZ107" s="146"/>
      <c r="BA107" s="146"/>
      <c r="BB107" s="146"/>
    </row>
    <row r="108" spans="2:54">
      <c r="B108" s="146"/>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6"/>
      <c r="AA108" s="145"/>
      <c r="AB108" s="145"/>
      <c r="AC108" s="146"/>
      <c r="AD108" s="146"/>
      <c r="AE108" s="145"/>
      <c r="AF108" s="145"/>
      <c r="AG108" s="146"/>
      <c r="AH108" s="146"/>
      <c r="AI108" s="145"/>
      <c r="AJ108" s="146"/>
      <c r="AK108" s="146"/>
      <c r="AL108" s="146"/>
      <c r="AM108" s="146"/>
      <c r="AN108" s="146"/>
      <c r="AO108" s="146"/>
      <c r="AP108" s="147"/>
      <c r="AQ108" s="146"/>
      <c r="AR108" s="146"/>
      <c r="AS108" s="146"/>
      <c r="AT108" s="146"/>
      <c r="AU108" s="146"/>
      <c r="AV108" s="146"/>
      <c r="AW108" s="146"/>
      <c r="AX108" s="146"/>
      <c r="AY108" s="146"/>
      <c r="AZ108" s="146"/>
      <c r="BA108" s="146"/>
      <c r="BB108" s="146"/>
    </row>
    <row r="109" spans="2:54">
      <c r="B109" s="146"/>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6"/>
      <c r="AA109" s="145"/>
      <c r="AB109" s="145"/>
      <c r="AC109" s="146"/>
      <c r="AD109" s="146"/>
      <c r="AE109" s="145"/>
      <c r="AF109" s="145"/>
      <c r="AG109" s="146"/>
      <c r="AH109" s="146"/>
      <c r="AI109" s="145"/>
      <c r="AJ109" s="146"/>
      <c r="AK109" s="146"/>
      <c r="AL109" s="146"/>
      <c r="AM109" s="146"/>
      <c r="AN109" s="146"/>
      <c r="AO109" s="146"/>
      <c r="AP109" s="147"/>
      <c r="AQ109" s="146"/>
      <c r="AR109" s="146"/>
      <c r="AS109" s="146"/>
      <c r="AT109" s="146"/>
      <c r="AU109" s="146"/>
      <c r="AV109" s="146"/>
      <c r="AW109" s="146"/>
      <c r="AX109" s="146"/>
      <c r="AY109" s="146"/>
      <c r="AZ109" s="146"/>
      <c r="BA109" s="146"/>
      <c r="BB109" s="146"/>
    </row>
    <row r="110" spans="2:54">
      <c r="B110" s="146"/>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6"/>
      <c r="AA110" s="145"/>
      <c r="AB110" s="145"/>
      <c r="AC110" s="146"/>
      <c r="AD110" s="146"/>
      <c r="AE110" s="145"/>
      <c r="AF110" s="145"/>
      <c r="AG110" s="146"/>
      <c r="AH110" s="146"/>
      <c r="AI110" s="145"/>
      <c r="AJ110" s="146"/>
      <c r="AK110" s="146"/>
      <c r="AL110" s="146"/>
      <c r="AM110" s="146"/>
      <c r="AN110" s="146"/>
      <c r="AO110" s="146"/>
      <c r="AP110" s="147"/>
      <c r="AQ110" s="146"/>
      <c r="AR110" s="146"/>
      <c r="AS110" s="146"/>
      <c r="AT110" s="146"/>
      <c r="AU110" s="146"/>
      <c r="AV110" s="146"/>
      <c r="AW110" s="146"/>
      <c r="AX110" s="146"/>
      <c r="AY110" s="146"/>
      <c r="AZ110" s="146"/>
      <c r="BA110" s="146"/>
      <c r="BB110" s="146"/>
    </row>
    <row r="111" spans="2:54">
      <c r="B111" s="146"/>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6"/>
      <c r="AA111" s="145"/>
      <c r="AB111" s="145"/>
      <c r="AC111" s="146"/>
      <c r="AD111" s="146"/>
      <c r="AE111" s="145"/>
      <c r="AF111" s="145"/>
      <c r="AG111" s="146"/>
      <c r="AH111" s="146"/>
      <c r="AI111" s="145"/>
      <c r="AJ111" s="146"/>
      <c r="AK111" s="146"/>
      <c r="AL111" s="146"/>
      <c r="AM111" s="146"/>
      <c r="AN111" s="146"/>
      <c r="AO111" s="146"/>
      <c r="AP111" s="147"/>
      <c r="AQ111" s="146"/>
      <c r="AR111" s="146"/>
      <c r="AS111" s="146"/>
      <c r="AT111" s="146"/>
      <c r="AU111" s="146"/>
      <c r="AV111" s="146"/>
      <c r="AW111" s="146"/>
      <c r="AX111" s="146"/>
      <c r="AY111" s="146"/>
      <c r="AZ111" s="146"/>
      <c r="BA111" s="146"/>
      <c r="BB111" s="146"/>
    </row>
    <row r="112" spans="2:54">
      <c r="B112" s="146"/>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6"/>
      <c r="AA112" s="145"/>
      <c r="AB112" s="145"/>
      <c r="AC112" s="146"/>
      <c r="AD112" s="146"/>
      <c r="AE112" s="145"/>
      <c r="AF112" s="145"/>
      <c r="AG112" s="146"/>
      <c r="AH112" s="146"/>
      <c r="AI112" s="145"/>
      <c r="AJ112" s="146"/>
      <c r="AK112" s="146"/>
      <c r="AL112" s="146"/>
      <c r="AM112" s="146"/>
      <c r="AN112" s="146"/>
      <c r="AO112" s="146"/>
      <c r="AP112" s="147"/>
      <c r="AQ112" s="146"/>
      <c r="AR112" s="146"/>
      <c r="AS112" s="146"/>
      <c r="AT112" s="146"/>
      <c r="AU112" s="146"/>
      <c r="AV112" s="146"/>
      <c r="AW112" s="146"/>
      <c r="AX112" s="146"/>
      <c r="AY112" s="146"/>
      <c r="AZ112" s="146"/>
      <c r="BA112" s="146"/>
      <c r="BB112" s="146"/>
    </row>
    <row r="113" spans="2:54">
      <c r="B113" s="146"/>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6"/>
      <c r="AA113" s="145"/>
      <c r="AB113" s="145"/>
      <c r="AC113" s="146"/>
      <c r="AD113" s="146"/>
      <c r="AE113" s="145"/>
      <c r="AF113" s="145"/>
      <c r="AG113" s="146"/>
      <c r="AH113" s="146"/>
      <c r="AI113" s="145"/>
      <c r="AJ113" s="146"/>
      <c r="AK113" s="146"/>
      <c r="AL113" s="146"/>
      <c r="AM113" s="146"/>
      <c r="AN113" s="146"/>
      <c r="AO113" s="146"/>
      <c r="AP113" s="147"/>
      <c r="AQ113" s="146"/>
      <c r="AR113" s="146"/>
      <c r="AS113" s="146"/>
      <c r="AT113" s="146"/>
      <c r="AU113" s="146"/>
      <c r="AV113" s="146"/>
      <c r="AW113" s="146"/>
      <c r="AX113" s="146"/>
      <c r="AY113" s="146"/>
      <c r="AZ113" s="146"/>
      <c r="BA113" s="146"/>
      <c r="BB113" s="146"/>
    </row>
    <row r="114" spans="2:54">
      <c r="B114" s="146"/>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6"/>
      <c r="AA114" s="145"/>
      <c r="AB114" s="145"/>
      <c r="AC114" s="146"/>
      <c r="AD114" s="146"/>
      <c r="AE114" s="145"/>
      <c r="AF114" s="145"/>
      <c r="AG114" s="146"/>
      <c r="AH114" s="146"/>
      <c r="AI114" s="145"/>
      <c r="AJ114" s="146"/>
      <c r="AK114" s="146"/>
      <c r="AL114" s="146"/>
      <c r="AM114" s="146"/>
      <c r="AN114" s="146"/>
      <c r="AO114" s="146"/>
      <c r="AP114" s="147"/>
      <c r="AQ114" s="146"/>
      <c r="AR114" s="146"/>
      <c r="AS114" s="146"/>
      <c r="AT114" s="146"/>
      <c r="AU114" s="146"/>
      <c r="AV114" s="146"/>
      <c r="AW114" s="146"/>
      <c r="AX114" s="146"/>
      <c r="AY114" s="146"/>
      <c r="AZ114" s="146"/>
      <c r="BA114" s="146"/>
      <c r="BB114" s="146"/>
    </row>
    <row r="115" spans="2:54">
      <c r="B115" s="146"/>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6"/>
      <c r="AA115" s="145"/>
      <c r="AB115" s="145"/>
      <c r="AC115" s="146"/>
      <c r="AD115" s="146"/>
      <c r="AE115" s="145"/>
      <c r="AF115" s="145"/>
      <c r="AG115" s="146"/>
      <c r="AH115" s="146"/>
      <c r="AI115" s="145"/>
      <c r="AJ115" s="146"/>
      <c r="AK115" s="146"/>
      <c r="AL115" s="146"/>
      <c r="AM115" s="146"/>
      <c r="AN115" s="146"/>
      <c r="AO115" s="146"/>
      <c r="AP115" s="147"/>
      <c r="AQ115" s="146"/>
      <c r="AR115" s="146"/>
      <c r="AS115" s="146"/>
      <c r="AT115" s="146"/>
      <c r="AU115" s="146"/>
      <c r="AV115" s="146"/>
      <c r="AW115" s="146"/>
      <c r="AX115" s="146"/>
      <c r="AY115" s="146"/>
      <c r="AZ115" s="146"/>
      <c r="BA115" s="146"/>
      <c r="BB115" s="146"/>
    </row>
    <row r="116" spans="2:54">
      <c r="B116" s="146"/>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6"/>
      <c r="AA116" s="145"/>
      <c r="AB116" s="145"/>
      <c r="AC116" s="146"/>
      <c r="AD116" s="146"/>
      <c r="AE116" s="145"/>
      <c r="AF116" s="145"/>
      <c r="AG116" s="146"/>
      <c r="AH116" s="146"/>
      <c r="AI116" s="145"/>
      <c r="AJ116" s="146"/>
      <c r="AK116" s="146"/>
      <c r="AL116" s="146"/>
      <c r="AM116" s="146"/>
      <c r="AN116" s="146"/>
      <c r="AO116" s="146"/>
      <c r="AP116" s="147"/>
      <c r="AQ116" s="146"/>
      <c r="AR116" s="146"/>
      <c r="AS116" s="146"/>
      <c r="AT116" s="146"/>
      <c r="AU116" s="146"/>
      <c r="AV116" s="146"/>
      <c r="AW116" s="146"/>
      <c r="AX116" s="146"/>
      <c r="AY116" s="146"/>
      <c r="AZ116" s="146"/>
      <c r="BA116" s="146"/>
      <c r="BB116" s="146"/>
    </row>
    <row r="117" spans="2:54">
      <c r="B117" s="146"/>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6"/>
      <c r="AA117" s="145"/>
      <c r="AB117" s="145"/>
      <c r="AC117" s="146"/>
      <c r="AD117" s="146"/>
      <c r="AE117" s="145"/>
      <c r="AF117" s="145"/>
      <c r="AG117" s="146"/>
      <c r="AH117" s="146"/>
      <c r="AI117" s="145"/>
      <c r="AJ117" s="146"/>
      <c r="AK117" s="146"/>
      <c r="AL117" s="146"/>
      <c r="AM117" s="146"/>
      <c r="AN117" s="146"/>
      <c r="AO117" s="146"/>
      <c r="AP117" s="147"/>
      <c r="AQ117" s="146"/>
      <c r="AR117" s="146"/>
      <c r="AS117" s="146"/>
      <c r="AT117" s="146"/>
      <c r="AU117" s="146"/>
      <c r="AV117" s="146"/>
      <c r="AW117" s="146"/>
      <c r="AX117" s="146"/>
      <c r="AY117" s="146"/>
      <c r="AZ117" s="146"/>
      <c r="BA117" s="146"/>
      <c r="BB117" s="146"/>
    </row>
    <row r="118" spans="2:54">
      <c r="B118" s="146"/>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6"/>
      <c r="AA118" s="145"/>
      <c r="AB118" s="145"/>
      <c r="AC118" s="146"/>
      <c r="AD118" s="146"/>
      <c r="AE118" s="145"/>
      <c r="AF118" s="145"/>
      <c r="AG118" s="146"/>
      <c r="AH118" s="146"/>
      <c r="AI118" s="145"/>
      <c r="AJ118" s="146"/>
      <c r="AK118" s="146"/>
      <c r="AL118" s="146"/>
      <c r="AM118" s="146"/>
      <c r="AN118" s="146"/>
      <c r="AO118" s="146"/>
      <c r="AP118" s="147"/>
      <c r="AQ118" s="146"/>
      <c r="AR118" s="146"/>
      <c r="AS118" s="146"/>
      <c r="AT118" s="146"/>
      <c r="AU118" s="146"/>
      <c r="AV118" s="146"/>
      <c r="AW118" s="146"/>
      <c r="AX118" s="146"/>
      <c r="AY118" s="146"/>
      <c r="AZ118" s="146"/>
      <c r="BA118" s="146"/>
      <c r="BB118" s="146"/>
    </row>
    <row r="119" spans="2:54">
      <c r="B119" s="146"/>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6"/>
      <c r="AA119" s="145"/>
      <c r="AB119" s="145"/>
      <c r="AC119" s="146"/>
      <c r="AD119" s="146"/>
      <c r="AE119" s="145"/>
      <c r="AF119" s="145"/>
      <c r="AG119" s="146"/>
      <c r="AH119" s="146"/>
      <c r="AI119" s="145"/>
      <c r="AJ119" s="146"/>
      <c r="AK119" s="146"/>
      <c r="AL119" s="146"/>
      <c r="AM119" s="146"/>
      <c r="AN119" s="146"/>
      <c r="AO119" s="146"/>
      <c r="AP119" s="147"/>
      <c r="AQ119" s="146"/>
      <c r="AR119" s="146"/>
      <c r="AS119" s="146"/>
      <c r="AT119" s="146"/>
      <c r="AU119" s="146"/>
      <c r="AV119" s="146"/>
      <c r="AW119" s="146"/>
      <c r="AX119" s="146"/>
      <c r="AY119" s="146"/>
      <c r="AZ119" s="146"/>
      <c r="BA119" s="146"/>
      <c r="BB119" s="146"/>
    </row>
    <row r="120" spans="2:54">
      <c r="B120" s="146"/>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6"/>
      <c r="AA120" s="145"/>
      <c r="AB120" s="145"/>
      <c r="AC120" s="146"/>
      <c r="AD120" s="146"/>
      <c r="AE120" s="145"/>
      <c r="AF120" s="145"/>
      <c r="AG120" s="146"/>
      <c r="AH120" s="146"/>
      <c r="AI120" s="145"/>
      <c r="AJ120" s="146"/>
      <c r="AK120" s="146"/>
      <c r="AL120" s="146"/>
      <c r="AM120" s="146"/>
      <c r="AN120" s="146"/>
      <c r="AO120" s="146"/>
      <c r="AP120" s="147"/>
      <c r="AQ120" s="146"/>
      <c r="AR120" s="146"/>
      <c r="AS120" s="146"/>
      <c r="AT120" s="146"/>
      <c r="AU120" s="146"/>
      <c r="AV120" s="146"/>
      <c r="AW120" s="146"/>
      <c r="AX120" s="146"/>
      <c r="AY120" s="146"/>
      <c r="AZ120" s="146"/>
      <c r="BA120" s="146"/>
      <c r="BB120" s="146"/>
    </row>
    <row r="121" spans="2:54">
      <c r="B121" s="146"/>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6"/>
      <c r="AA121" s="145"/>
      <c r="AB121" s="145"/>
      <c r="AC121" s="146"/>
      <c r="AD121" s="146"/>
      <c r="AE121" s="145"/>
      <c r="AF121" s="145"/>
      <c r="AG121" s="146"/>
      <c r="AH121" s="146"/>
      <c r="AI121" s="145"/>
      <c r="AJ121" s="146"/>
      <c r="AK121" s="146"/>
      <c r="AL121" s="146"/>
      <c r="AM121" s="146"/>
      <c r="AN121" s="146"/>
      <c r="AO121" s="146"/>
      <c r="AP121" s="147"/>
      <c r="AQ121" s="146"/>
      <c r="AR121" s="146"/>
      <c r="AS121" s="146"/>
      <c r="AT121" s="146"/>
      <c r="AU121" s="146"/>
      <c r="AV121" s="146"/>
      <c r="AW121" s="146"/>
      <c r="AX121" s="146"/>
      <c r="AY121" s="146"/>
      <c r="AZ121" s="146"/>
      <c r="BA121" s="146"/>
      <c r="BB121" s="146"/>
    </row>
    <row r="122" spans="2:54">
      <c r="B122" s="146"/>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6"/>
      <c r="AA122" s="145"/>
      <c r="AB122" s="145"/>
      <c r="AC122" s="146"/>
      <c r="AD122" s="146"/>
      <c r="AE122" s="145"/>
      <c r="AF122" s="145"/>
      <c r="AG122" s="146"/>
      <c r="AH122" s="146"/>
      <c r="AI122" s="145"/>
      <c r="AJ122" s="146"/>
      <c r="AK122" s="146"/>
      <c r="AL122" s="146"/>
      <c r="AM122" s="146"/>
      <c r="AN122" s="146"/>
      <c r="AO122" s="146"/>
      <c r="AP122" s="147"/>
      <c r="AQ122" s="146"/>
      <c r="AR122" s="146"/>
      <c r="AS122" s="146"/>
      <c r="AT122" s="146"/>
      <c r="AU122" s="146"/>
      <c r="AV122" s="146"/>
      <c r="AW122" s="146"/>
      <c r="AX122" s="146"/>
      <c r="AY122" s="146"/>
      <c r="AZ122" s="146"/>
      <c r="BA122" s="146"/>
      <c r="BB122" s="146"/>
    </row>
    <row r="123" spans="2:54">
      <c r="B123" s="146"/>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6"/>
      <c r="AA123" s="145"/>
      <c r="AB123" s="145"/>
      <c r="AC123" s="146"/>
      <c r="AD123" s="146"/>
      <c r="AE123" s="145"/>
      <c r="AF123" s="145"/>
      <c r="AG123" s="146"/>
      <c r="AH123" s="146"/>
      <c r="AI123" s="145"/>
      <c r="AJ123" s="146"/>
      <c r="AK123" s="146"/>
      <c r="AL123" s="146"/>
      <c r="AM123" s="146"/>
      <c r="AN123" s="146"/>
      <c r="AO123" s="146"/>
      <c r="AP123" s="147"/>
      <c r="AQ123" s="146"/>
      <c r="AR123" s="146"/>
      <c r="AS123" s="146"/>
      <c r="AT123" s="146"/>
      <c r="AU123" s="146"/>
      <c r="AV123" s="146"/>
      <c r="AW123" s="146"/>
      <c r="AX123" s="146"/>
      <c r="AY123" s="146"/>
      <c r="AZ123" s="146"/>
      <c r="BA123" s="146"/>
      <c r="BB123" s="146"/>
    </row>
    <row r="124" spans="2:54">
      <c r="B124" s="146"/>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6"/>
      <c r="AA124" s="145"/>
      <c r="AB124" s="145"/>
      <c r="AC124" s="146"/>
      <c r="AD124" s="146"/>
      <c r="AE124" s="145"/>
      <c r="AF124" s="145"/>
      <c r="AG124" s="146"/>
      <c r="AH124" s="146"/>
      <c r="AI124" s="145"/>
      <c r="AJ124" s="146"/>
      <c r="AK124" s="146"/>
      <c r="AL124" s="146"/>
      <c r="AM124" s="146"/>
      <c r="AN124" s="146"/>
      <c r="AO124" s="146"/>
      <c r="AP124" s="147"/>
      <c r="AQ124" s="146"/>
      <c r="AR124" s="146"/>
      <c r="AS124" s="146"/>
      <c r="AT124" s="146"/>
      <c r="AU124" s="146"/>
      <c r="AV124" s="146"/>
      <c r="AW124" s="146"/>
      <c r="AX124" s="146"/>
      <c r="AY124" s="146"/>
      <c r="AZ124" s="146"/>
      <c r="BA124" s="146"/>
      <c r="BB124" s="146"/>
    </row>
    <row r="125" spans="2:54">
      <c r="B125" s="146"/>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6"/>
      <c r="AA125" s="145"/>
      <c r="AB125" s="145"/>
      <c r="AC125" s="146"/>
      <c r="AD125" s="146"/>
      <c r="AE125" s="145"/>
      <c r="AF125" s="145"/>
      <c r="AG125" s="146"/>
      <c r="AH125" s="146"/>
      <c r="AI125" s="145"/>
      <c r="AJ125" s="146"/>
      <c r="AK125" s="146"/>
      <c r="AL125" s="146"/>
      <c r="AM125" s="146"/>
      <c r="AN125" s="146"/>
      <c r="AO125" s="146"/>
      <c r="AP125" s="147"/>
      <c r="AQ125" s="146"/>
      <c r="AR125" s="146"/>
      <c r="AS125" s="146"/>
      <c r="AT125" s="146"/>
      <c r="AU125" s="146"/>
      <c r="AV125" s="146"/>
      <c r="AW125" s="146"/>
      <c r="AX125" s="146"/>
      <c r="AY125" s="146"/>
      <c r="AZ125" s="146"/>
      <c r="BA125" s="146"/>
      <c r="BB125" s="146"/>
    </row>
    <row r="126" spans="2:54">
      <c r="B126" s="146"/>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6"/>
      <c r="AA126" s="145"/>
      <c r="AB126" s="145"/>
      <c r="AC126" s="146"/>
      <c r="AD126" s="146"/>
      <c r="AE126" s="145"/>
      <c r="AF126" s="145"/>
      <c r="AG126" s="146"/>
      <c r="AH126" s="146"/>
      <c r="AI126" s="145"/>
      <c r="AJ126" s="146"/>
      <c r="AK126" s="146"/>
      <c r="AL126" s="146"/>
      <c r="AM126" s="146"/>
      <c r="AN126" s="146"/>
      <c r="AO126" s="146"/>
      <c r="AP126" s="147"/>
      <c r="AQ126" s="146"/>
      <c r="AR126" s="146"/>
      <c r="AS126" s="146"/>
      <c r="AT126" s="146"/>
      <c r="AU126" s="146"/>
      <c r="AV126" s="146"/>
      <c r="AW126" s="146"/>
      <c r="AX126" s="146"/>
      <c r="AY126" s="146"/>
      <c r="AZ126" s="146"/>
      <c r="BA126" s="146"/>
      <c r="BB126" s="146"/>
    </row>
    <row r="127" spans="2:54">
      <c r="B127" s="146"/>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6"/>
      <c r="AA127" s="145"/>
      <c r="AB127" s="145"/>
      <c r="AC127" s="146"/>
      <c r="AD127" s="146"/>
      <c r="AE127" s="145"/>
      <c r="AF127" s="145"/>
      <c r="AG127" s="146"/>
      <c r="AH127" s="146"/>
      <c r="AI127" s="145"/>
      <c r="AJ127" s="146"/>
      <c r="AK127" s="146"/>
      <c r="AL127" s="146"/>
      <c r="AM127" s="146"/>
      <c r="AN127" s="146"/>
      <c r="AO127" s="146"/>
      <c r="AP127" s="147"/>
      <c r="AQ127" s="146"/>
      <c r="AR127" s="146"/>
      <c r="AS127" s="146"/>
      <c r="AT127" s="146"/>
      <c r="AU127" s="146"/>
      <c r="AV127" s="146"/>
      <c r="AW127" s="146"/>
      <c r="AX127" s="146"/>
      <c r="AY127" s="146"/>
      <c r="AZ127" s="146"/>
      <c r="BA127" s="146"/>
      <c r="BB127" s="146"/>
    </row>
    <row r="128" spans="2:54">
      <c r="B128" s="146"/>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6"/>
      <c r="AA128" s="145"/>
      <c r="AB128" s="145"/>
      <c r="AC128" s="146"/>
      <c r="AD128" s="146"/>
      <c r="AE128" s="145"/>
      <c r="AF128" s="145"/>
      <c r="AG128" s="146"/>
      <c r="AH128" s="146"/>
      <c r="AI128" s="145"/>
      <c r="AJ128" s="146"/>
      <c r="AK128" s="146"/>
      <c r="AL128" s="146"/>
      <c r="AM128" s="146"/>
      <c r="AN128" s="146"/>
      <c r="AO128" s="146"/>
      <c r="AP128" s="147"/>
      <c r="AQ128" s="146"/>
      <c r="AR128" s="146"/>
      <c r="AS128" s="146"/>
      <c r="AT128" s="146"/>
      <c r="AU128" s="146"/>
      <c r="AV128" s="146"/>
      <c r="AW128" s="146"/>
      <c r="AX128" s="146"/>
      <c r="AY128" s="146"/>
      <c r="AZ128" s="146"/>
      <c r="BA128" s="146"/>
      <c r="BB128" s="146"/>
    </row>
    <row r="129" spans="2:54">
      <c r="B129" s="146"/>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6"/>
      <c r="AA129" s="145"/>
      <c r="AB129" s="145"/>
      <c r="AC129" s="146"/>
      <c r="AD129" s="146"/>
      <c r="AE129" s="145"/>
      <c r="AF129" s="145"/>
      <c r="AG129" s="146"/>
      <c r="AH129" s="146"/>
      <c r="AI129" s="145"/>
      <c r="AJ129" s="146"/>
      <c r="AK129" s="146"/>
      <c r="AL129" s="146"/>
      <c r="AM129" s="146"/>
      <c r="AN129" s="146"/>
      <c r="AO129" s="146"/>
      <c r="AP129" s="147"/>
      <c r="AQ129" s="146"/>
      <c r="AR129" s="146"/>
      <c r="AS129" s="146"/>
      <c r="AT129" s="146"/>
      <c r="AU129" s="146"/>
      <c r="AV129" s="146"/>
      <c r="AW129" s="146"/>
      <c r="AX129" s="146"/>
      <c r="AY129" s="146"/>
      <c r="AZ129" s="146"/>
      <c r="BA129" s="146"/>
      <c r="BB129" s="146"/>
    </row>
    <row r="130" spans="2:54">
      <c r="B130" s="146"/>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6"/>
      <c r="AA130" s="145"/>
      <c r="AB130" s="145"/>
      <c r="AC130" s="146"/>
      <c r="AD130" s="146"/>
      <c r="AE130" s="145"/>
      <c r="AF130" s="145"/>
      <c r="AG130" s="146"/>
      <c r="AH130" s="146"/>
      <c r="AI130" s="145"/>
      <c r="AJ130" s="146"/>
      <c r="AK130" s="146"/>
      <c r="AL130" s="146"/>
      <c r="AM130" s="146"/>
      <c r="AN130" s="146"/>
      <c r="AO130" s="146"/>
      <c r="AP130" s="147"/>
      <c r="AQ130" s="146"/>
      <c r="AR130" s="146"/>
      <c r="AS130" s="146"/>
      <c r="AT130" s="146"/>
      <c r="AU130" s="146"/>
      <c r="AV130" s="146"/>
      <c r="AW130" s="146"/>
      <c r="AX130" s="146"/>
      <c r="AY130" s="146"/>
      <c r="AZ130" s="146"/>
      <c r="BA130" s="146"/>
      <c r="BB130" s="146"/>
    </row>
    <row r="131" spans="2:54">
      <c r="B131" s="146"/>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6"/>
      <c r="AA131" s="145"/>
      <c r="AB131" s="145"/>
      <c r="AC131" s="146"/>
      <c r="AD131" s="146"/>
      <c r="AE131" s="145"/>
      <c r="AF131" s="145"/>
      <c r="AG131" s="146"/>
      <c r="AH131" s="146"/>
      <c r="AI131" s="145"/>
      <c r="AJ131" s="146"/>
      <c r="AK131" s="146"/>
      <c r="AL131" s="146"/>
      <c r="AM131" s="146"/>
      <c r="AN131" s="146"/>
      <c r="AO131" s="146"/>
      <c r="AP131" s="147"/>
      <c r="AQ131" s="146"/>
      <c r="AR131" s="146"/>
      <c r="AS131" s="146"/>
      <c r="AT131" s="146"/>
      <c r="AU131" s="146"/>
      <c r="AV131" s="146"/>
      <c r="AW131" s="146"/>
      <c r="AX131" s="146"/>
      <c r="AY131" s="146"/>
      <c r="AZ131" s="146"/>
      <c r="BA131" s="146"/>
      <c r="BB131" s="146"/>
    </row>
    <row r="132" spans="2:54">
      <c r="B132" s="146"/>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6"/>
      <c r="AA132" s="145"/>
      <c r="AB132" s="145"/>
      <c r="AC132" s="146"/>
      <c r="AD132" s="146"/>
      <c r="AE132" s="145"/>
      <c r="AF132" s="145"/>
      <c r="AG132" s="146"/>
      <c r="AH132" s="146"/>
      <c r="AI132" s="145"/>
      <c r="AJ132" s="146"/>
      <c r="AK132" s="146"/>
      <c r="AL132" s="146"/>
      <c r="AM132" s="146"/>
      <c r="AN132" s="146"/>
      <c r="AO132" s="146"/>
      <c r="AP132" s="147"/>
      <c r="AQ132" s="146"/>
      <c r="AR132" s="146"/>
      <c r="AS132" s="146"/>
      <c r="AT132" s="146"/>
      <c r="AU132" s="146"/>
      <c r="AV132" s="146"/>
      <c r="AW132" s="146"/>
      <c r="AX132" s="146"/>
      <c r="AY132" s="146"/>
      <c r="AZ132" s="146"/>
      <c r="BA132" s="146"/>
      <c r="BB132" s="146"/>
    </row>
    <row r="133" spans="2:54">
      <c r="B133" s="146"/>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6"/>
      <c r="AA133" s="145"/>
      <c r="AB133" s="145"/>
      <c r="AC133" s="146"/>
      <c r="AD133" s="146"/>
      <c r="AE133" s="145"/>
      <c r="AF133" s="145"/>
      <c r="AG133" s="146"/>
      <c r="AH133" s="146"/>
      <c r="AI133" s="145"/>
      <c r="AJ133" s="146"/>
      <c r="AK133" s="146"/>
      <c r="AL133" s="146"/>
      <c r="AM133" s="146"/>
      <c r="AN133" s="146"/>
      <c r="AO133" s="146"/>
      <c r="AP133" s="147"/>
      <c r="AQ133" s="146"/>
      <c r="AR133" s="146"/>
      <c r="AS133" s="146"/>
      <c r="AT133" s="146"/>
      <c r="AU133" s="146"/>
      <c r="AV133" s="146"/>
      <c r="AW133" s="146"/>
      <c r="AX133" s="146"/>
      <c r="AY133" s="146"/>
      <c r="AZ133" s="146"/>
      <c r="BA133" s="146"/>
      <c r="BB133" s="146"/>
    </row>
    <row r="134" spans="2:54">
      <c r="B134" s="146"/>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6"/>
      <c r="AA134" s="145"/>
      <c r="AB134" s="145"/>
      <c r="AC134" s="146"/>
      <c r="AD134" s="146"/>
      <c r="AE134" s="145"/>
      <c r="AF134" s="145"/>
      <c r="AG134" s="146"/>
      <c r="AH134" s="146"/>
      <c r="AI134" s="145"/>
      <c r="AJ134" s="146"/>
      <c r="AK134" s="146"/>
      <c r="AL134" s="146"/>
      <c r="AM134" s="146"/>
      <c r="AN134" s="146"/>
      <c r="AO134" s="146"/>
      <c r="AP134" s="147"/>
      <c r="AQ134" s="146"/>
      <c r="AR134" s="146"/>
      <c r="AS134" s="146"/>
      <c r="AT134" s="146"/>
      <c r="AU134" s="146"/>
      <c r="AV134" s="146"/>
      <c r="AW134" s="146"/>
      <c r="AX134" s="146"/>
      <c r="AY134" s="146"/>
      <c r="AZ134" s="146"/>
      <c r="BA134" s="146"/>
      <c r="BB134" s="146"/>
    </row>
    <row r="135" spans="2:54">
      <c r="B135" s="146"/>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6"/>
      <c r="AA135" s="145"/>
      <c r="AB135" s="145"/>
      <c r="AC135" s="146"/>
      <c r="AD135" s="146"/>
      <c r="AE135" s="145"/>
      <c r="AF135" s="145"/>
      <c r="AG135" s="146"/>
      <c r="AH135" s="146"/>
      <c r="AI135" s="145"/>
      <c r="AJ135" s="146"/>
      <c r="AK135" s="146"/>
      <c r="AL135" s="146"/>
      <c r="AM135" s="146"/>
      <c r="AN135" s="146"/>
      <c r="AO135" s="146"/>
      <c r="AP135" s="147"/>
      <c r="AQ135" s="146"/>
      <c r="AR135" s="146"/>
      <c r="AS135" s="146"/>
      <c r="AT135" s="146"/>
      <c r="AU135" s="146"/>
      <c r="AV135" s="146"/>
      <c r="AW135" s="146"/>
      <c r="AX135" s="146"/>
      <c r="AY135" s="146"/>
      <c r="AZ135" s="146"/>
      <c r="BA135" s="146"/>
      <c r="BB135" s="146"/>
    </row>
    <row r="136" spans="2:54">
      <c r="B136" s="146"/>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6"/>
      <c r="AA136" s="145"/>
      <c r="AB136" s="145"/>
      <c r="AC136" s="146"/>
      <c r="AD136" s="146"/>
      <c r="AE136" s="145"/>
      <c r="AF136" s="145"/>
      <c r="AG136" s="146"/>
      <c r="AH136" s="146"/>
      <c r="AI136" s="145"/>
      <c r="AJ136" s="146"/>
      <c r="AK136" s="146"/>
      <c r="AL136" s="146"/>
      <c r="AM136" s="146"/>
    </row>
    <row r="137" spans="2:54">
      <c r="B137" s="146"/>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6"/>
      <c r="AA137" s="145"/>
      <c r="AB137" s="145"/>
      <c r="AC137" s="146"/>
      <c r="AD137" s="146"/>
      <c r="AE137" s="145"/>
      <c r="AF137" s="145"/>
      <c r="AG137" s="146"/>
      <c r="AH137" s="146"/>
      <c r="AI137" s="145"/>
      <c r="AJ137" s="146"/>
      <c r="AK137" s="146"/>
      <c r="AL137" s="146"/>
      <c r="AM137" s="146"/>
    </row>
    <row r="138" spans="2:54">
      <c r="B138" s="146"/>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6"/>
      <c r="AA138" s="145"/>
      <c r="AB138" s="145"/>
      <c r="AC138" s="146"/>
      <c r="AD138" s="146"/>
      <c r="AE138" s="145"/>
      <c r="AF138" s="145"/>
      <c r="AG138" s="146"/>
      <c r="AH138" s="146"/>
      <c r="AI138" s="145"/>
      <c r="AJ138" s="146"/>
      <c r="AK138" s="146"/>
      <c r="AL138" s="146"/>
      <c r="AM138" s="146"/>
    </row>
    <row r="139" spans="2:54">
      <c r="B139" s="146"/>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6"/>
      <c r="AA139" s="145"/>
      <c r="AB139" s="145"/>
      <c r="AC139" s="146"/>
      <c r="AD139" s="146"/>
      <c r="AE139" s="145"/>
      <c r="AF139" s="145"/>
      <c r="AG139" s="146"/>
      <c r="AH139" s="146"/>
      <c r="AI139" s="145"/>
      <c r="AJ139" s="146"/>
      <c r="AK139" s="146"/>
      <c r="AL139" s="146"/>
      <c r="AM139" s="146"/>
    </row>
    <row r="140" spans="2:54">
      <c r="B140" s="146"/>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6"/>
      <c r="AA140" s="145"/>
      <c r="AB140" s="145"/>
      <c r="AC140" s="146"/>
      <c r="AD140" s="146"/>
      <c r="AE140" s="145"/>
      <c r="AF140" s="145"/>
      <c r="AG140" s="146"/>
      <c r="AH140" s="146"/>
      <c r="AI140" s="145"/>
      <c r="AJ140" s="146"/>
      <c r="AK140" s="146"/>
      <c r="AL140" s="146"/>
      <c r="AM140" s="146"/>
    </row>
    <row r="141" spans="2:54">
      <c r="B141" s="146"/>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6"/>
      <c r="AA141" s="145"/>
      <c r="AB141" s="145"/>
      <c r="AC141" s="146"/>
      <c r="AD141" s="146"/>
      <c r="AE141" s="145"/>
      <c r="AF141" s="145"/>
      <c r="AG141" s="146"/>
      <c r="AH141" s="146"/>
      <c r="AI141" s="145"/>
      <c r="AJ141" s="146"/>
      <c r="AK141" s="146"/>
      <c r="AL141" s="146"/>
      <c r="AM141" s="146"/>
    </row>
    <row r="142" spans="2:54">
      <c r="B142" s="146"/>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6"/>
      <c r="AA142" s="145"/>
      <c r="AB142" s="145"/>
      <c r="AC142" s="146"/>
      <c r="AD142" s="146"/>
      <c r="AE142" s="145"/>
      <c r="AF142" s="145"/>
      <c r="AG142" s="146"/>
      <c r="AH142" s="146"/>
      <c r="AI142" s="145"/>
      <c r="AJ142" s="146"/>
      <c r="AK142" s="146"/>
      <c r="AL142" s="146"/>
      <c r="AM142" s="146"/>
    </row>
    <row r="143" spans="2:54">
      <c r="B143" s="146"/>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6"/>
      <c r="AA143" s="145"/>
      <c r="AB143" s="145"/>
      <c r="AC143" s="146"/>
      <c r="AD143" s="146"/>
      <c r="AE143" s="145"/>
      <c r="AF143" s="145"/>
      <c r="AG143" s="146"/>
      <c r="AH143" s="146"/>
      <c r="AI143" s="145"/>
      <c r="AJ143" s="146"/>
      <c r="AK143" s="146"/>
      <c r="AL143" s="146"/>
      <c r="AM143" s="146"/>
    </row>
    <row r="144" spans="2:54">
      <c r="B144" s="146"/>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6"/>
      <c r="AA144" s="145"/>
      <c r="AB144" s="145"/>
      <c r="AC144" s="146"/>
      <c r="AD144" s="146"/>
      <c r="AE144" s="145"/>
      <c r="AF144" s="145"/>
      <c r="AG144" s="146"/>
      <c r="AH144" s="146"/>
      <c r="AI144" s="145"/>
      <c r="AJ144" s="146"/>
      <c r="AK144" s="146"/>
      <c r="AL144" s="146"/>
      <c r="AM144" s="146"/>
    </row>
    <row r="145" spans="2:39">
      <c r="B145" s="146"/>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6"/>
      <c r="AA145" s="145"/>
      <c r="AB145" s="145"/>
      <c r="AC145" s="146"/>
      <c r="AD145" s="146"/>
      <c r="AE145" s="145"/>
      <c r="AF145" s="145"/>
      <c r="AG145" s="146"/>
      <c r="AH145" s="146"/>
      <c r="AI145" s="145"/>
      <c r="AJ145" s="146"/>
      <c r="AK145" s="146"/>
      <c r="AL145" s="146"/>
      <c r="AM145" s="146"/>
    </row>
    <row r="146" spans="2:39">
      <c r="B146" s="146"/>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6"/>
      <c r="AA146" s="145"/>
      <c r="AB146" s="145"/>
      <c r="AC146" s="146"/>
      <c r="AD146" s="146"/>
      <c r="AE146" s="145"/>
      <c r="AF146" s="145"/>
      <c r="AG146" s="146"/>
      <c r="AH146" s="146"/>
      <c r="AI146" s="145"/>
      <c r="AJ146" s="146"/>
      <c r="AK146" s="146"/>
      <c r="AL146" s="146"/>
      <c r="AM146" s="146"/>
    </row>
    <row r="147" spans="2:39">
      <c r="B147" s="146"/>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6"/>
      <c r="AA147" s="145"/>
      <c r="AB147" s="145"/>
      <c r="AC147" s="146"/>
      <c r="AD147" s="146"/>
      <c r="AE147" s="145"/>
      <c r="AF147" s="145"/>
      <c r="AG147" s="146"/>
      <c r="AH147" s="146"/>
      <c r="AI147" s="145"/>
      <c r="AJ147" s="146"/>
      <c r="AK147" s="146"/>
      <c r="AL147" s="146"/>
      <c r="AM147" s="146"/>
    </row>
    <row r="148" spans="2:39">
      <c r="B148" s="146"/>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6"/>
      <c r="AA148" s="145"/>
      <c r="AB148" s="145"/>
      <c r="AC148" s="146"/>
      <c r="AD148" s="146"/>
      <c r="AE148" s="145"/>
      <c r="AF148" s="145"/>
      <c r="AG148" s="146"/>
      <c r="AH148" s="146"/>
      <c r="AI148" s="145"/>
      <c r="AJ148" s="146"/>
      <c r="AK148" s="146"/>
      <c r="AL148" s="146"/>
      <c r="AM148" s="146"/>
    </row>
    <row r="149" spans="2:39">
      <c r="B149" s="146"/>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6"/>
      <c r="AA149" s="145"/>
      <c r="AB149" s="145"/>
      <c r="AC149" s="146"/>
      <c r="AD149" s="146"/>
      <c r="AE149" s="145"/>
      <c r="AF149" s="145"/>
      <c r="AG149" s="146"/>
      <c r="AH149" s="146"/>
      <c r="AI149" s="145"/>
      <c r="AJ149" s="146"/>
      <c r="AK149" s="146"/>
      <c r="AL149" s="146"/>
      <c r="AM149" s="146"/>
    </row>
    <row r="150" spans="2:39">
      <c r="B150" s="146"/>
      <c r="C150" s="145"/>
      <c r="D150" s="145"/>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6"/>
      <c r="AA150" s="145"/>
      <c r="AB150" s="145"/>
      <c r="AC150" s="146"/>
      <c r="AD150" s="146"/>
      <c r="AE150" s="145"/>
      <c r="AF150" s="145"/>
      <c r="AG150" s="146"/>
      <c r="AH150" s="146"/>
      <c r="AI150" s="145"/>
      <c r="AJ150" s="146"/>
      <c r="AK150" s="146"/>
      <c r="AL150" s="146"/>
      <c r="AM150" s="146"/>
    </row>
    <row r="151" spans="2:39">
      <c r="B151" s="146"/>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6"/>
      <c r="AA151" s="145"/>
      <c r="AB151" s="145"/>
      <c r="AC151" s="146"/>
      <c r="AD151" s="146"/>
      <c r="AE151" s="145"/>
      <c r="AF151" s="145"/>
      <c r="AG151" s="146"/>
      <c r="AH151" s="146"/>
      <c r="AI151" s="145"/>
      <c r="AJ151" s="146"/>
      <c r="AK151" s="146"/>
      <c r="AL151" s="146"/>
      <c r="AM151" s="146"/>
    </row>
    <row r="152" spans="2:39">
      <c r="B152" s="146"/>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6"/>
      <c r="AA152" s="145"/>
      <c r="AB152" s="145"/>
      <c r="AC152" s="146"/>
      <c r="AD152" s="146"/>
      <c r="AE152" s="145"/>
      <c r="AF152" s="145"/>
      <c r="AG152" s="146"/>
      <c r="AH152" s="146"/>
      <c r="AI152" s="145"/>
      <c r="AJ152" s="146"/>
      <c r="AK152" s="146"/>
      <c r="AL152" s="146"/>
      <c r="AM152" s="146"/>
    </row>
    <row r="153" spans="2:39">
      <c r="B153" s="146"/>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6"/>
      <c r="AA153" s="145"/>
      <c r="AB153" s="145"/>
      <c r="AC153" s="146"/>
      <c r="AD153" s="146"/>
      <c r="AE153" s="145"/>
      <c r="AF153" s="145"/>
      <c r="AG153" s="146"/>
      <c r="AH153" s="146"/>
      <c r="AI153" s="145"/>
      <c r="AJ153" s="146"/>
      <c r="AK153" s="146"/>
      <c r="AL153" s="146"/>
      <c r="AM153" s="146"/>
    </row>
    <row r="154" spans="2:39">
      <c r="B154" s="146"/>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6"/>
      <c r="AA154" s="145"/>
      <c r="AB154" s="145"/>
      <c r="AC154" s="146"/>
      <c r="AD154" s="146"/>
      <c r="AE154" s="145"/>
      <c r="AF154" s="145"/>
      <c r="AG154" s="146"/>
      <c r="AH154" s="146"/>
      <c r="AI154" s="145"/>
      <c r="AJ154" s="146"/>
      <c r="AK154" s="146"/>
      <c r="AL154" s="146"/>
      <c r="AM154" s="146"/>
    </row>
    <row r="155" spans="2:39">
      <c r="B155" s="146"/>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6"/>
      <c r="AA155" s="145"/>
      <c r="AB155" s="145"/>
      <c r="AC155" s="146"/>
      <c r="AD155" s="146"/>
      <c r="AE155" s="145"/>
      <c r="AF155" s="145"/>
      <c r="AG155" s="146"/>
      <c r="AH155" s="146"/>
      <c r="AI155" s="145"/>
      <c r="AJ155" s="146"/>
      <c r="AK155" s="146"/>
      <c r="AL155" s="146"/>
      <c r="AM155" s="146"/>
    </row>
    <row r="156" spans="2:39">
      <c r="B156" s="146"/>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6"/>
      <c r="AA156" s="145"/>
      <c r="AB156" s="145"/>
      <c r="AC156" s="146"/>
      <c r="AD156" s="146"/>
      <c r="AE156" s="145"/>
      <c r="AF156" s="145"/>
      <c r="AG156" s="146"/>
      <c r="AH156" s="146"/>
      <c r="AI156" s="145"/>
      <c r="AJ156" s="146"/>
      <c r="AK156" s="146"/>
      <c r="AL156" s="146"/>
      <c r="AM156" s="146"/>
    </row>
    <row r="157" spans="2:39">
      <c r="B157" s="146"/>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6"/>
      <c r="AA157" s="145"/>
      <c r="AB157" s="145"/>
      <c r="AC157" s="146"/>
      <c r="AD157" s="146"/>
      <c r="AE157" s="145"/>
      <c r="AF157" s="145"/>
      <c r="AG157" s="146"/>
      <c r="AH157" s="146"/>
      <c r="AI157" s="145"/>
      <c r="AJ157" s="146"/>
      <c r="AK157" s="146"/>
      <c r="AL157" s="146"/>
      <c r="AM157" s="146"/>
    </row>
    <row r="158" spans="2:39">
      <c r="B158" s="146"/>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6"/>
      <c r="AA158" s="145"/>
      <c r="AB158" s="145"/>
      <c r="AC158" s="146"/>
      <c r="AD158" s="146"/>
      <c r="AE158" s="145"/>
      <c r="AF158" s="145"/>
      <c r="AG158" s="146"/>
      <c r="AH158" s="146"/>
      <c r="AI158" s="145"/>
      <c r="AJ158" s="146"/>
      <c r="AK158" s="146"/>
      <c r="AL158" s="146"/>
      <c r="AM158" s="146"/>
    </row>
    <row r="159" spans="2:39">
      <c r="B159" s="146"/>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6"/>
      <c r="AA159" s="145"/>
      <c r="AB159" s="145"/>
      <c r="AC159" s="146"/>
      <c r="AD159" s="146"/>
      <c r="AE159" s="145"/>
      <c r="AF159" s="145"/>
      <c r="AG159" s="146"/>
      <c r="AH159" s="146"/>
      <c r="AI159" s="145"/>
      <c r="AJ159" s="146"/>
      <c r="AK159" s="146"/>
      <c r="AL159" s="146"/>
      <c r="AM159" s="146"/>
    </row>
    <row r="160" spans="2:39">
      <c r="B160" s="146"/>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6"/>
      <c r="AA160" s="145"/>
      <c r="AB160" s="145"/>
      <c r="AC160" s="146"/>
      <c r="AD160" s="146"/>
      <c r="AE160" s="145"/>
      <c r="AF160" s="145"/>
      <c r="AG160" s="146"/>
      <c r="AH160" s="146"/>
      <c r="AI160" s="145"/>
      <c r="AJ160" s="146"/>
      <c r="AK160" s="146"/>
      <c r="AL160" s="146"/>
      <c r="AM160" s="146"/>
    </row>
    <row r="161" spans="2:39">
      <c r="B161" s="146"/>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6"/>
      <c r="AA161" s="145"/>
      <c r="AB161" s="145"/>
      <c r="AC161" s="146"/>
      <c r="AD161" s="146"/>
      <c r="AE161" s="145"/>
      <c r="AF161" s="145"/>
      <c r="AG161" s="146"/>
      <c r="AH161" s="146"/>
      <c r="AI161" s="145"/>
      <c r="AJ161" s="146"/>
      <c r="AK161" s="146"/>
      <c r="AL161" s="146"/>
      <c r="AM161" s="146"/>
    </row>
    <row r="162" spans="2:39">
      <c r="B162" s="146"/>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6"/>
      <c r="AA162" s="145"/>
      <c r="AB162" s="145"/>
      <c r="AC162" s="146"/>
      <c r="AD162" s="146"/>
      <c r="AE162" s="145"/>
      <c r="AF162" s="145"/>
      <c r="AG162" s="146"/>
      <c r="AH162" s="146"/>
      <c r="AI162" s="145"/>
      <c r="AJ162" s="146"/>
      <c r="AK162" s="146"/>
      <c r="AL162" s="146"/>
      <c r="AM162" s="146"/>
    </row>
    <row r="163" spans="2:39">
      <c r="B163" s="146"/>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6"/>
      <c r="AA163" s="145"/>
      <c r="AB163" s="145"/>
      <c r="AC163" s="146"/>
      <c r="AD163" s="146"/>
      <c r="AE163" s="145"/>
      <c r="AF163" s="145"/>
      <c r="AG163" s="146"/>
      <c r="AH163" s="146"/>
      <c r="AI163" s="145"/>
      <c r="AJ163" s="146"/>
      <c r="AK163" s="146"/>
      <c r="AL163" s="146"/>
      <c r="AM163" s="146"/>
    </row>
    <row r="164" spans="2:39">
      <c r="B164" s="146"/>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6"/>
      <c r="AA164" s="145"/>
      <c r="AB164" s="145"/>
      <c r="AC164" s="146"/>
      <c r="AD164" s="146"/>
      <c r="AE164" s="145"/>
      <c r="AF164" s="145"/>
      <c r="AG164" s="146"/>
      <c r="AH164" s="146"/>
      <c r="AI164" s="145"/>
      <c r="AJ164" s="146"/>
      <c r="AK164" s="146"/>
      <c r="AL164" s="146"/>
      <c r="AM164" s="146"/>
    </row>
    <row r="165" spans="2:39">
      <c r="B165" s="146"/>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6"/>
      <c r="AA165" s="145"/>
      <c r="AB165" s="145"/>
      <c r="AC165" s="146"/>
      <c r="AD165" s="146"/>
      <c r="AE165" s="145"/>
      <c r="AF165" s="145"/>
      <c r="AG165" s="146"/>
      <c r="AH165" s="146"/>
      <c r="AI165" s="145"/>
      <c r="AJ165" s="146"/>
      <c r="AK165" s="146"/>
      <c r="AL165" s="146"/>
      <c r="AM165" s="146"/>
    </row>
    <row r="166" spans="2:39">
      <c r="B166" s="146"/>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6"/>
      <c r="AA166" s="145"/>
      <c r="AB166" s="145"/>
      <c r="AC166" s="146"/>
      <c r="AD166" s="146"/>
      <c r="AE166" s="145"/>
      <c r="AF166" s="145"/>
      <c r="AG166" s="146"/>
      <c r="AH166" s="146"/>
      <c r="AI166" s="145"/>
      <c r="AJ166" s="146"/>
      <c r="AK166" s="146"/>
      <c r="AL166" s="146"/>
      <c r="AM166" s="146"/>
    </row>
    <row r="167" spans="2:39">
      <c r="B167" s="146"/>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6"/>
      <c r="AA167" s="145"/>
      <c r="AB167" s="145"/>
      <c r="AC167" s="146"/>
      <c r="AD167" s="146"/>
      <c r="AE167" s="145"/>
      <c r="AF167" s="145"/>
      <c r="AG167" s="146"/>
      <c r="AH167" s="146"/>
      <c r="AI167" s="145"/>
      <c r="AJ167" s="146"/>
      <c r="AK167" s="146"/>
      <c r="AL167" s="146"/>
      <c r="AM167" s="146"/>
    </row>
    <row r="168" spans="2:39">
      <c r="B168" s="146"/>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6"/>
      <c r="AA168" s="145"/>
      <c r="AB168" s="145"/>
      <c r="AC168" s="146"/>
      <c r="AD168" s="146"/>
      <c r="AE168" s="145"/>
      <c r="AF168" s="145"/>
      <c r="AG168" s="146"/>
      <c r="AH168" s="146"/>
      <c r="AI168" s="145"/>
      <c r="AJ168" s="146"/>
      <c r="AK168" s="146"/>
      <c r="AL168" s="146"/>
      <c r="AM168" s="146"/>
    </row>
    <row r="169" spans="2:39">
      <c r="B169" s="146"/>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6"/>
      <c r="AA169" s="145"/>
      <c r="AB169" s="145"/>
      <c r="AC169" s="146"/>
      <c r="AD169" s="146"/>
      <c r="AE169" s="145"/>
      <c r="AF169" s="145"/>
      <c r="AG169" s="146"/>
      <c r="AH169" s="146"/>
      <c r="AI169" s="145"/>
      <c r="AJ169" s="146"/>
      <c r="AK169" s="146"/>
      <c r="AL169" s="146"/>
      <c r="AM169" s="146"/>
    </row>
    <row r="170" spans="2:39">
      <c r="B170" s="146"/>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6"/>
      <c r="AA170" s="145"/>
      <c r="AB170" s="145"/>
      <c r="AC170" s="146"/>
      <c r="AD170" s="146"/>
      <c r="AE170" s="145"/>
      <c r="AF170" s="145"/>
      <c r="AG170" s="146"/>
      <c r="AH170" s="146"/>
      <c r="AI170" s="145"/>
      <c r="AJ170" s="146"/>
      <c r="AK170" s="146"/>
      <c r="AL170" s="146"/>
      <c r="AM170" s="146"/>
    </row>
    <row r="171" spans="2:39">
      <c r="B171" s="146"/>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6"/>
      <c r="AA171" s="145"/>
      <c r="AB171" s="145"/>
      <c r="AC171" s="146"/>
      <c r="AD171" s="146"/>
      <c r="AE171" s="145"/>
      <c r="AF171" s="145"/>
      <c r="AG171" s="146"/>
      <c r="AH171" s="146"/>
      <c r="AI171" s="145"/>
      <c r="AJ171" s="146"/>
      <c r="AK171" s="146"/>
      <c r="AL171" s="146"/>
      <c r="AM171" s="146"/>
    </row>
    <row r="172" spans="2:39">
      <c r="B172" s="146"/>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6"/>
      <c r="AA172" s="145"/>
      <c r="AB172" s="145"/>
      <c r="AC172" s="146"/>
      <c r="AD172" s="146"/>
      <c r="AE172" s="145"/>
      <c r="AF172" s="145"/>
      <c r="AG172" s="146"/>
      <c r="AH172" s="146"/>
      <c r="AI172" s="145"/>
      <c r="AJ172" s="146"/>
      <c r="AK172" s="146"/>
      <c r="AL172" s="146"/>
      <c r="AM172" s="146"/>
    </row>
    <row r="173" spans="2:39">
      <c r="B173" s="146"/>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6"/>
      <c r="AA173" s="145"/>
      <c r="AB173" s="145"/>
      <c r="AC173" s="146"/>
      <c r="AD173" s="146"/>
      <c r="AE173" s="145"/>
      <c r="AF173" s="145"/>
      <c r="AG173" s="146"/>
      <c r="AH173" s="146"/>
      <c r="AI173" s="145"/>
      <c r="AJ173" s="146"/>
      <c r="AK173" s="146"/>
      <c r="AL173" s="146"/>
      <c r="AM173" s="146"/>
    </row>
    <row r="174" spans="2:39">
      <c r="B174" s="146"/>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6"/>
      <c r="AA174" s="145"/>
      <c r="AB174" s="145"/>
      <c r="AC174" s="146"/>
      <c r="AD174" s="146"/>
      <c r="AE174" s="145"/>
      <c r="AF174" s="145"/>
      <c r="AG174" s="146"/>
      <c r="AH174" s="146"/>
      <c r="AI174" s="145"/>
      <c r="AJ174" s="146"/>
      <c r="AK174" s="146"/>
      <c r="AL174" s="146"/>
      <c r="AM174" s="146"/>
    </row>
    <row r="175" spans="2:39">
      <c r="B175" s="146"/>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6"/>
      <c r="AA175" s="145"/>
      <c r="AB175" s="145"/>
      <c r="AC175" s="146"/>
      <c r="AD175" s="146"/>
      <c r="AE175" s="145"/>
      <c r="AF175" s="145"/>
      <c r="AG175" s="146"/>
      <c r="AH175" s="146"/>
      <c r="AI175" s="145"/>
      <c r="AJ175" s="146"/>
      <c r="AK175" s="146"/>
      <c r="AL175" s="146"/>
      <c r="AM175" s="146"/>
    </row>
    <row r="176" spans="2:39">
      <c r="B176" s="146"/>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6"/>
      <c r="AA176" s="145"/>
      <c r="AB176" s="145"/>
      <c r="AC176" s="146"/>
      <c r="AD176" s="146"/>
      <c r="AE176" s="145"/>
      <c r="AF176" s="145"/>
      <c r="AG176" s="146"/>
      <c r="AH176" s="146"/>
      <c r="AI176" s="145"/>
      <c r="AJ176" s="146"/>
      <c r="AK176" s="146"/>
      <c r="AL176" s="146"/>
      <c r="AM176" s="146"/>
    </row>
    <row r="177" spans="2:39">
      <c r="B177" s="146"/>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6"/>
      <c r="AA177" s="145"/>
      <c r="AB177" s="145"/>
      <c r="AC177" s="146"/>
      <c r="AD177" s="146"/>
      <c r="AE177" s="145"/>
      <c r="AF177" s="145"/>
      <c r="AG177" s="146"/>
      <c r="AH177" s="146"/>
      <c r="AI177" s="145"/>
      <c r="AJ177" s="146"/>
      <c r="AK177" s="146"/>
      <c r="AL177" s="146"/>
      <c r="AM177" s="146"/>
    </row>
    <row r="178" spans="2:39">
      <c r="B178" s="146"/>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6"/>
      <c r="AA178" s="145"/>
      <c r="AB178" s="145"/>
      <c r="AC178" s="146"/>
      <c r="AD178" s="146"/>
      <c r="AE178" s="145"/>
      <c r="AF178" s="145"/>
      <c r="AG178" s="146"/>
      <c r="AH178" s="146"/>
      <c r="AI178" s="145"/>
      <c r="AJ178" s="146"/>
      <c r="AK178" s="146"/>
      <c r="AL178" s="146"/>
      <c r="AM178" s="146"/>
    </row>
    <row r="179" spans="2:39">
      <c r="B179" s="146"/>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6"/>
      <c r="AA179" s="145"/>
      <c r="AB179" s="145"/>
      <c r="AC179" s="146"/>
      <c r="AD179" s="146"/>
      <c r="AE179" s="145"/>
      <c r="AF179" s="145"/>
      <c r="AG179" s="146"/>
      <c r="AH179" s="146"/>
      <c r="AI179" s="145"/>
      <c r="AJ179" s="146"/>
      <c r="AK179" s="146"/>
      <c r="AL179" s="146"/>
      <c r="AM179" s="146"/>
    </row>
    <row r="180" spans="2:39">
      <c r="B180" s="146"/>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6"/>
      <c r="AA180" s="145"/>
      <c r="AB180" s="145"/>
      <c r="AC180" s="146"/>
      <c r="AD180" s="146"/>
      <c r="AE180" s="145"/>
      <c r="AF180" s="145"/>
      <c r="AG180" s="146"/>
      <c r="AH180" s="146"/>
      <c r="AI180" s="145"/>
      <c r="AJ180" s="146"/>
      <c r="AK180" s="146"/>
      <c r="AL180" s="146"/>
      <c r="AM180" s="146"/>
    </row>
    <row r="181" spans="2:39">
      <c r="B181" s="146"/>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6"/>
      <c r="AA181" s="145"/>
      <c r="AB181" s="145"/>
      <c r="AC181" s="146"/>
      <c r="AD181" s="146"/>
      <c r="AE181" s="145"/>
      <c r="AF181" s="145"/>
      <c r="AG181" s="146"/>
      <c r="AH181" s="146"/>
      <c r="AI181" s="145"/>
      <c r="AJ181" s="146"/>
      <c r="AK181" s="146"/>
      <c r="AL181" s="146"/>
      <c r="AM181" s="146"/>
    </row>
    <row r="182" spans="2:39">
      <c r="B182" s="146"/>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6"/>
      <c r="AA182" s="145"/>
      <c r="AB182" s="145"/>
      <c r="AC182" s="146"/>
      <c r="AD182" s="146"/>
      <c r="AE182" s="145"/>
      <c r="AF182" s="145"/>
      <c r="AG182" s="146"/>
      <c r="AH182" s="146"/>
      <c r="AI182" s="145"/>
      <c r="AJ182" s="146"/>
      <c r="AK182" s="146"/>
      <c r="AL182" s="146"/>
      <c r="AM182" s="146"/>
    </row>
    <row r="183" spans="2:39">
      <c r="B183" s="146"/>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6"/>
      <c r="AA183" s="145"/>
      <c r="AB183" s="145"/>
      <c r="AC183" s="146"/>
      <c r="AD183" s="146"/>
      <c r="AE183" s="145"/>
      <c r="AF183" s="145"/>
      <c r="AG183" s="146"/>
      <c r="AH183" s="146"/>
      <c r="AI183" s="145"/>
      <c r="AJ183" s="146"/>
      <c r="AK183" s="146"/>
      <c r="AL183" s="146"/>
      <c r="AM183" s="146"/>
    </row>
    <row r="184" spans="2:39">
      <c r="B184" s="146"/>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6"/>
      <c r="AA184" s="145"/>
      <c r="AB184" s="145"/>
      <c r="AC184" s="146"/>
      <c r="AD184" s="146"/>
      <c r="AE184" s="145"/>
      <c r="AF184" s="145"/>
      <c r="AG184" s="146"/>
      <c r="AH184" s="146"/>
      <c r="AI184" s="145"/>
      <c r="AJ184" s="146"/>
      <c r="AK184" s="146"/>
      <c r="AL184" s="146"/>
      <c r="AM184" s="146"/>
    </row>
    <row r="185" spans="2:39">
      <c r="B185" s="146"/>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6"/>
      <c r="AA185" s="145"/>
      <c r="AB185" s="145"/>
      <c r="AC185" s="146"/>
      <c r="AD185" s="146"/>
      <c r="AE185" s="145"/>
      <c r="AF185" s="145"/>
      <c r="AG185" s="146"/>
      <c r="AH185" s="146"/>
      <c r="AI185" s="145"/>
      <c r="AJ185" s="146"/>
      <c r="AK185" s="146"/>
      <c r="AL185" s="146"/>
      <c r="AM185" s="146"/>
    </row>
    <row r="186" spans="2:39">
      <c r="B186" s="146"/>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6"/>
      <c r="AA186" s="145"/>
      <c r="AB186" s="145"/>
      <c r="AC186" s="146"/>
      <c r="AD186" s="146"/>
      <c r="AE186" s="145"/>
      <c r="AF186" s="145"/>
      <c r="AG186" s="146"/>
      <c r="AH186" s="146"/>
      <c r="AI186" s="145"/>
      <c r="AJ186" s="146"/>
      <c r="AK186" s="146"/>
      <c r="AL186" s="146"/>
      <c r="AM186" s="146"/>
    </row>
    <row r="187" spans="2:39">
      <c r="B187" s="146"/>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6"/>
      <c r="AA187" s="145"/>
      <c r="AB187" s="145"/>
      <c r="AC187" s="146"/>
      <c r="AD187" s="146"/>
      <c r="AE187" s="145"/>
      <c r="AF187" s="145"/>
      <c r="AG187" s="146"/>
      <c r="AH187" s="146"/>
      <c r="AI187" s="145"/>
      <c r="AJ187" s="146"/>
      <c r="AK187" s="146"/>
      <c r="AL187" s="146"/>
      <c r="AM187" s="146"/>
    </row>
    <row r="188" spans="2:39">
      <c r="B188" s="146"/>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6"/>
      <c r="AA188" s="145"/>
      <c r="AB188" s="145"/>
      <c r="AC188" s="146"/>
      <c r="AD188" s="146"/>
      <c r="AE188" s="145"/>
      <c r="AF188" s="145"/>
      <c r="AG188" s="146"/>
      <c r="AH188" s="146"/>
      <c r="AI188" s="145"/>
      <c r="AJ188" s="146"/>
      <c r="AK188" s="146"/>
      <c r="AL188" s="146"/>
      <c r="AM188" s="146"/>
    </row>
    <row r="189" spans="2:39">
      <c r="B189" s="146"/>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6"/>
      <c r="AA189" s="145"/>
      <c r="AB189" s="145"/>
      <c r="AC189" s="146"/>
      <c r="AD189" s="146"/>
      <c r="AE189" s="145"/>
      <c r="AF189" s="145"/>
      <c r="AG189" s="146"/>
      <c r="AH189" s="146"/>
      <c r="AI189" s="145"/>
      <c r="AJ189" s="146"/>
      <c r="AK189" s="146"/>
      <c r="AL189" s="146"/>
      <c r="AM189" s="146"/>
    </row>
    <row r="190" spans="2:39">
      <c r="B190" s="146"/>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6"/>
      <c r="AA190" s="145"/>
      <c r="AB190" s="145"/>
      <c r="AC190" s="146"/>
      <c r="AD190" s="146"/>
      <c r="AE190" s="145"/>
      <c r="AF190" s="145"/>
      <c r="AG190" s="146"/>
      <c r="AH190" s="146"/>
      <c r="AI190" s="145"/>
      <c r="AJ190" s="146"/>
      <c r="AK190" s="146"/>
      <c r="AL190" s="146"/>
      <c r="AM190" s="146"/>
    </row>
    <row r="191" spans="2:39">
      <c r="B191" s="146"/>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6"/>
      <c r="AA191" s="145"/>
      <c r="AB191" s="145"/>
      <c r="AC191" s="146"/>
      <c r="AD191" s="146"/>
      <c r="AE191" s="145"/>
      <c r="AF191" s="145"/>
      <c r="AG191" s="146"/>
      <c r="AH191" s="146"/>
      <c r="AI191" s="145"/>
      <c r="AJ191" s="146"/>
      <c r="AK191" s="146"/>
      <c r="AL191" s="146"/>
      <c r="AM191" s="146"/>
    </row>
    <row r="192" spans="2:39">
      <c r="B192" s="146"/>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6"/>
      <c r="AA192" s="145"/>
      <c r="AB192" s="145"/>
      <c r="AC192" s="146"/>
      <c r="AD192" s="146"/>
      <c r="AE192" s="145"/>
      <c r="AF192" s="145"/>
      <c r="AG192" s="146"/>
      <c r="AH192" s="146"/>
      <c r="AI192" s="145"/>
      <c r="AJ192" s="146"/>
      <c r="AK192" s="146"/>
      <c r="AL192" s="146"/>
      <c r="AM192" s="146"/>
    </row>
    <row r="193" spans="2:39">
      <c r="B193" s="146"/>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6"/>
      <c r="AA193" s="145"/>
      <c r="AB193" s="145"/>
      <c r="AC193" s="146"/>
      <c r="AD193" s="146"/>
      <c r="AE193" s="145"/>
      <c r="AF193" s="145"/>
      <c r="AG193" s="146"/>
      <c r="AH193" s="146"/>
      <c r="AI193" s="145"/>
      <c r="AJ193" s="146"/>
      <c r="AK193" s="146"/>
      <c r="AL193" s="146"/>
      <c r="AM193" s="146"/>
    </row>
    <row r="194" spans="2:39">
      <c r="B194" s="146"/>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6"/>
      <c r="AA194" s="145"/>
      <c r="AB194" s="145"/>
      <c r="AC194" s="146"/>
      <c r="AD194" s="146"/>
      <c r="AE194" s="145"/>
      <c r="AF194" s="145"/>
      <c r="AG194" s="146"/>
      <c r="AH194" s="146"/>
      <c r="AI194" s="145"/>
      <c r="AJ194" s="146"/>
      <c r="AK194" s="146"/>
      <c r="AL194" s="146"/>
      <c r="AM194" s="146"/>
    </row>
    <row r="195" spans="2:39">
      <c r="B195" s="146"/>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6"/>
      <c r="AA195" s="145"/>
      <c r="AB195" s="145"/>
      <c r="AC195" s="146"/>
      <c r="AD195" s="146"/>
      <c r="AE195" s="145"/>
      <c r="AF195" s="145"/>
      <c r="AG195" s="146"/>
      <c r="AH195" s="146"/>
      <c r="AI195" s="145"/>
      <c r="AJ195" s="146"/>
      <c r="AK195" s="146"/>
      <c r="AL195" s="146"/>
      <c r="AM195" s="146"/>
    </row>
    <row r="196" spans="2:39">
      <c r="B196" s="146"/>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6"/>
      <c r="AA196" s="145"/>
      <c r="AB196" s="145"/>
      <c r="AC196" s="146"/>
      <c r="AD196" s="146"/>
      <c r="AE196" s="145"/>
      <c r="AF196" s="145"/>
      <c r="AG196" s="146"/>
      <c r="AH196" s="146"/>
      <c r="AI196" s="145"/>
      <c r="AJ196" s="146"/>
      <c r="AK196" s="146"/>
      <c r="AL196" s="146"/>
      <c r="AM196" s="146"/>
    </row>
    <row r="197" spans="2:39">
      <c r="B197" s="146"/>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6"/>
      <c r="AA197" s="145"/>
      <c r="AB197" s="145"/>
      <c r="AC197" s="146"/>
      <c r="AD197" s="146"/>
      <c r="AE197" s="145"/>
      <c r="AF197" s="145"/>
      <c r="AG197" s="146"/>
      <c r="AH197" s="146"/>
      <c r="AI197" s="145"/>
      <c r="AJ197" s="146"/>
      <c r="AK197" s="146"/>
      <c r="AL197" s="146"/>
      <c r="AM197" s="146"/>
    </row>
    <row r="198" spans="2:39">
      <c r="B198" s="146"/>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6"/>
      <c r="AA198" s="145"/>
      <c r="AB198" s="145"/>
      <c r="AC198" s="146"/>
      <c r="AD198" s="146"/>
      <c r="AE198" s="145"/>
      <c r="AF198" s="145"/>
      <c r="AG198" s="146"/>
      <c r="AH198" s="146"/>
      <c r="AI198" s="145"/>
      <c r="AJ198" s="146"/>
      <c r="AK198" s="146"/>
      <c r="AL198" s="146"/>
      <c r="AM198" s="146"/>
    </row>
    <row r="199" spans="2:39">
      <c r="B199" s="146"/>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6"/>
      <c r="AA199" s="145"/>
      <c r="AB199" s="145"/>
      <c r="AC199" s="146"/>
      <c r="AD199" s="146"/>
      <c r="AE199" s="145"/>
      <c r="AF199" s="145"/>
      <c r="AG199" s="146"/>
      <c r="AH199" s="146"/>
      <c r="AI199" s="145"/>
      <c r="AJ199" s="146"/>
      <c r="AK199" s="146"/>
      <c r="AL199" s="146"/>
      <c r="AM199" s="146"/>
    </row>
    <row r="200" spans="2:39">
      <c r="B200" s="146"/>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6"/>
      <c r="AA200" s="145"/>
      <c r="AB200" s="145"/>
      <c r="AC200" s="146"/>
      <c r="AD200" s="146"/>
      <c r="AE200" s="145"/>
      <c r="AF200" s="145"/>
      <c r="AG200" s="146"/>
      <c r="AH200" s="146"/>
      <c r="AI200" s="145"/>
      <c r="AJ200" s="146"/>
      <c r="AK200" s="146"/>
      <c r="AL200" s="146"/>
      <c r="AM200" s="146"/>
    </row>
    <row r="201" spans="2:39">
      <c r="B201" s="146"/>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6"/>
      <c r="AA201" s="145"/>
      <c r="AB201" s="145"/>
      <c r="AC201" s="146"/>
      <c r="AD201" s="146"/>
      <c r="AE201" s="145"/>
      <c r="AF201" s="145"/>
      <c r="AG201" s="146"/>
      <c r="AH201" s="146"/>
      <c r="AI201" s="145"/>
      <c r="AJ201" s="146"/>
      <c r="AK201" s="146"/>
      <c r="AL201" s="146"/>
      <c r="AM201" s="146"/>
    </row>
    <row r="202" spans="2:39">
      <c r="B202" s="146"/>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6"/>
      <c r="AA202" s="145"/>
      <c r="AB202" s="145"/>
      <c r="AC202" s="146"/>
      <c r="AD202" s="146"/>
      <c r="AE202" s="145"/>
      <c r="AF202" s="145"/>
      <c r="AG202" s="146"/>
      <c r="AH202" s="146"/>
      <c r="AI202" s="145"/>
      <c r="AJ202" s="146"/>
      <c r="AK202" s="146"/>
      <c r="AL202" s="146"/>
      <c r="AM202" s="146"/>
    </row>
    <row r="203" spans="2:39">
      <c r="B203" s="146"/>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6"/>
      <c r="AA203" s="145"/>
      <c r="AB203" s="145"/>
      <c r="AC203" s="146"/>
      <c r="AD203" s="146"/>
      <c r="AE203" s="145"/>
      <c r="AF203" s="145"/>
      <c r="AG203" s="146"/>
      <c r="AH203" s="146"/>
      <c r="AI203" s="145"/>
      <c r="AJ203" s="146"/>
      <c r="AK203" s="146"/>
      <c r="AL203" s="146"/>
      <c r="AM203" s="146"/>
    </row>
    <row r="204" spans="2:39">
      <c r="B204" s="146"/>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6"/>
      <c r="AA204" s="145"/>
      <c r="AB204" s="145"/>
      <c r="AC204" s="146"/>
      <c r="AD204" s="146"/>
      <c r="AE204" s="145"/>
      <c r="AF204" s="145"/>
      <c r="AG204" s="146"/>
      <c r="AH204" s="146"/>
      <c r="AI204" s="145"/>
      <c r="AJ204" s="146"/>
      <c r="AK204" s="146"/>
      <c r="AL204" s="146"/>
      <c r="AM204" s="146"/>
    </row>
    <row r="205" spans="2:39">
      <c r="B205" s="146"/>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6"/>
      <c r="AA205" s="145"/>
      <c r="AB205" s="145"/>
      <c r="AC205" s="146"/>
      <c r="AD205" s="146"/>
      <c r="AE205" s="145"/>
      <c r="AF205" s="145"/>
      <c r="AG205" s="146"/>
      <c r="AH205" s="146"/>
      <c r="AI205" s="145"/>
      <c r="AJ205" s="146"/>
      <c r="AK205" s="146"/>
      <c r="AL205" s="146"/>
      <c r="AM205" s="146"/>
    </row>
    <row r="206" spans="2:39">
      <c r="B206" s="146"/>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6"/>
      <c r="AA206" s="145"/>
      <c r="AB206" s="145"/>
      <c r="AC206" s="146"/>
      <c r="AD206" s="146"/>
      <c r="AE206" s="145"/>
      <c r="AF206" s="145"/>
      <c r="AG206" s="146"/>
      <c r="AH206" s="146"/>
      <c r="AI206" s="145"/>
      <c r="AJ206" s="146"/>
      <c r="AK206" s="146"/>
      <c r="AL206" s="146"/>
      <c r="AM206" s="146"/>
    </row>
    <row r="207" spans="2:39">
      <c r="B207" s="146"/>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6"/>
      <c r="AA207" s="145"/>
      <c r="AB207" s="145"/>
      <c r="AC207" s="146"/>
      <c r="AD207" s="146"/>
      <c r="AE207" s="145"/>
      <c r="AF207" s="145"/>
      <c r="AG207" s="146"/>
      <c r="AH207" s="146"/>
      <c r="AI207" s="145"/>
      <c r="AJ207" s="146"/>
      <c r="AK207" s="146"/>
      <c r="AL207" s="146"/>
      <c r="AM207" s="146"/>
    </row>
    <row r="208" spans="2:39">
      <c r="B208" s="146"/>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6"/>
      <c r="AA208" s="145"/>
      <c r="AB208" s="145"/>
      <c r="AC208" s="146"/>
      <c r="AD208" s="146"/>
      <c r="AE208" s="145"/>
      <c r="AF208" s="145"/>
      <c r="AG208" s="146"/>
      <c r="AH208" s="146"/>
      <c r="AI208" s="145"/>
      <c r="AJ208" s="146"/>
      <c r="AK208" s="146"/>
      <c r="AL208" s="146"/>
      <c r="AM208" s="146"/>
    </row>
    <row r="209" spans="2:39">
      <c r="B209" s="146"/>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6"/>
      <c r="AA209" s="145"/>
      <c r="AB209" s="145"/>
      <c r="AC209" s="146"/>
      <c r="AD209" s="146"/>
      <c r="AE209" s="145"/>
      <c r="AF209" s="145"/>
      <c r="AG209" s="146"/>
      <c r="AH209" s="146"/>
      <c r="AI209" s="145"/>
      <c r="AJ209" s="146"/>
      <c r="AK209" s="146"/>
      <c r="AL209" s="146"/>
      <c r="AM209" s="146"/>
    </row>
    <row r="210" spans="2:39">
      <c r="B210" s="146"/>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6"/>
      <c r="AA210" s="145"/>
      <c r="AB210" s="145"/>
      <c r="AC210" s="146"/>
      <c r="AD210" s="146"/>
      <c r="AE210" s="145"/>
      <c r="AF210" s="145"/>
      <c r="AG210" s="146"/>
      <c r="AH210" s="146"/>
      <c r="AI210" s="145"/>
      <c r="AJ210" s="146"/>
      <c r="AK210" s="146"/>
      <c r="AL210" s="146"/>
      <c r="AM210" s="146"/>
    </row>
    <row r="211" spans="2:39">
      <c r="B211" s="146"/>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6"/>
      <c r="AA211" s="145"/>
      <c r="AB211" s="145"/>
      <c r="AC211" s="146"/>
      <c r="AD211" s="146"/>
      <c r="AE211" s="145"/>
      <c r="AF211" s="145"/>
      <c r="AG211" s="146"/>
      <c r="AH211" s="146"/>
      <c r="AI211" s="145"/>
      <c r="AJ211" s="146"/>
      <c r="AK211" s="146"/>
      <c r="AL211" s="146"/>
      <c r="AM211" s="146"/>
    </row>
    <row r="212" spans="2:39">
      <c r="B212" s="146"/>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6"/>
      <c r="AA212" s="145"/>
      <c r="AB212" s="145"/>
      <c r="AC212" s="146"/>
      <c r="AD212" s="146"/>
      <c r="AE212" s="145"/>
      <c r="AF212" s="145"/>
      <c r="AG212" s="146"/>
      <c r="AH212" s="146"/>
      <c r="AI212" s="145"/>
      <c r="AJ212" s="146"/>
      <c r="AK212" s="146"/>
      <c r="AL212" s="146"/>
      <c r="AM212" s="146"/>
    </row>
    <row r="213" spans="2:39">
      <c r="B213" s="146"/>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6"/>
      <c r="AA213" s="145"/>
      <c r="AB213" s="145"/>
      <c r="AC213" s="146"/>
      <c r="AD213" s="146"/>
      <c r="AE213" s="145"/>
      <c r="AF213" s="145"/>
      <c r="AG213" s="146"/>
      <c r="AH213" s="146"/>
      <c r="AI213" s="145"/>
      <c r="AJ213" s="146"/>
      <c r="AK213" s="146"/>
      <c r="AL213" s="146"/>
      <c r="AM213" s="146"/>
    </row>
    <row r="214" spans="2:39">
      <c r="B214" s="146"/>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6"/>
      <c r="AA214" s="145"/>
      <c r="AB214" s="145"/>
      <c r="AC214" s="146"/>
      <c r="AD214" s="146"/>
      <c r="AE214" s="145"/>
      <c r="AF214" s="145"/>
      <c r="AG214" s="146"/>
      <c r="AH214" s="146"/>
      <c r="AI214" s="145"/>
      <c r="AJ214" s="146"/>
      <c r="AK214" s="146"/>
      <c r="AL214" s="146"/>
      <c r="AM214" s="146"/>
    </row>
  </sheetData>
  <mergeCells count="13">
    <mergeCell ref="L8:N8"/>
    <mergeCell ref="O8:Q8"/>
    <mergeCell ref="R8:T8"/>
    <mergeCell ref="U8:W8"/>
    <mergeCell ref="X8:Z8"/>
    <mergeCell ref="AA8:AC8"/>
    <mergeCell ref="C1:I1"/>
    <mergeCell ref="B3:K3"/>
    <mergeCell ref="U4:W4"/>
    <mergeCell ref="X4:Z4"/>
    <mergeCell ref="C6:K6"/>
    <mergeCell ref="D8:G8"/>
    <mergeCell ref="H8:K8"/>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sheetPr>
    <tabColor rgb="FF92D050"/>
  </sheetPr>
  <dimension ref="A1:BA214"/>
  <sheetViews>
    <sheetView zoomScaleNormal="100" workbookViewId="0">
      <pane xSplit="3" ySplit="9" topLeftCell="D10" activePane="bottomRight" state="frozen"/>
      <selection pane="topRight" activeCell="D1" sqref="D1"/>
      <selection pane="bottomLeft" activeCell="A10" sqref="A10"/>
      <selection pane="bottomRight" activeCell="AO9" sqref="AO9"/>
    </sheetView>
  </sheetViews>
  <sheetFormatPr defaultRowHeight="12.75"/>
  <cols>
    <col min="1" max="1" width="4.33203125" style="135" customWidth="1"/>
    <col min="2" max="2" width="41.33203125" customWidth="1"/>
    <col min="3" max="3" width="9.83203125" style="136" customWidth="1"/>
    <col min="4" max="4" width="11.6640625" style="136" customWidth="1"/>
    <col min="5" max="5" width="8.33203125" style="136" customWidth="1"/>
    <col min="6" max="6" width="12.1640625" style="136" customWidth="1"/>
    <col min="7" max="7" width="10" style="136" customWidth="1"/>
    <col min="8" max="8" width="10.6640625" style="136" customWidth="1"/>
    <col min="9" max="9" width="11" style="136" customWidth="1"/>
    <col min="10" max="10" width="9.1640625" style="136" customWidth="1"/>
    <col min="11" max="11" width="8.83203125" style="136" customWidth="1"/>
    <col min="12" max="12" width="11" style="136" customWidth="1"/>
    <col min="13" max="13" width="10.33203125" style="136" customWidth="1"/>
    <col min="14" max="14" width="8.33203125" style="136" customWidth="1"/>
    <col min="15" max="15" width="11.83203125" style="136" customWidth="1"/>
    <col min="16" max="16" width="9.1640625" style="136" customWidth="1"/>
    <col min="17" max="17" width="9.6640625" style="136" customWidth="1"/>
    <col min="18" max="18" width="10.6640625" style="136" customWidth="1"/>
    <col min="19" max="19" width="9.1640625" style="136" customWidth="1"/>
    <col min="20" max="20" width="9.33203125" style="136"/>
    <col min="21" max="21" width="11.33203125" style="136" customWidth="1"/>
    <col min="22" max="22" width="9.6640625" style="136" customWidth="1"/>
    <col min="23" max="23" width="8.33203125" style="136" customWidth="1"/>
    <col min="24" max="24" width="10.6640625" customWidth="1"/>
    <col min="25" max="25" width="10.1640625" style="136" customWidth="1"/>
    <col min="26" max="26" width="8.33203125" style="136" customWidth="1"/>
    <col min="27" max="27" width="11.1640625" customWidth="1"/>
    <col min="28" max="28" width="4.33203125" customWidth="1"/>
    <col min="29" max="29" width="33.33203125" style="136" customWidth="1"/>
    <col min="30" max="30" width="11.6640625" style="136" customWidth="1"/>
    <col min="31" max="31" width="13.6640625" customWidth="1"/>
    <col min="32" max="32" width="13" customWidth="1"/>
    <col min="33" max="33" width="11.33203125" style="136" customWidth="1"/>
    <col min="34" max="34" width="13.6640625" customWidth="1"/>
    <col min="35" max="35" width="12.1640625" customWidth="1"/>
    <col min="36" max="36" width="9.83203125" customWidth="1"/>
    <col min="37" max="37" width="11.33203125" customWidth="1"/>
    <col min="38" max="38" width="11.1640625" customWidth="1"/>
    <col min="39" max="39" width="2.83203125" customWidth="1"/>
    <col min="40" max="40" width="25.1640625" style="137" customWidth="1"/>
    <col min="41" max="41" width="15" customWidth="1"/>
  </cols>
  <sheetData>
    <row r="1" spans="1:53" s="144" customFormat="1" ht="15">
      <c r="A1" s="138"/>
      <c r="B1" s="139" t="s">
        <v>443</v>
      </c>
      <c r="C1" s="948" t="str">
        <f>Ogolne!D5</f>
        <v>Bydgoszcz</v>
      </c>
      <c r="D1" s="948"/>
      <c r="E1" s="948"/>
      <c r="F1" s="948"/>
      <c r="G1" s="948"/>
      <c r="H1" s="948"/>
      <c r="I1" s="716"/>
      <c r="K1" s="140"/>
      <c r="L1" s="140"/>
      <c r="M1" s="140"/>
      <c r="N1" s="140"/>
      <c r="O1" s="140"/>
      <c r="P1" s="141"/>
      <c r="Q1" s="140"/>
      <c r="R1" s="140"/>
      <c r="S1" s="140"/>
      <c r="T1" s="140"/>
      <c r="U1" s="140"/>
      <c r="V1" s="140"/>
      <c r="W1" s="140"/>
      <c r="X1" s="140"/>
      <c r="Y1" s="140"/>
      <c r="Z1" s="140"/>
      <c r="AA1" s="140"/>
      <c r="AB1" s="138"/>
      <c r="AC1" s="138"/>
      <c r="AD1" s="138"/>
      <c r="AE1" s="138"/>
      <c r="AF1" s="138"/>
      <c r="AG1" s="138"/>
      <c r="AH1" s="138"/>
      <c r="AI1" s="138"/>
      <c r="AJ1" s="142"/>
      <c r="AK1" s="142"/>
      <c r="AL1" s="142"/>
      <c r="AM1" s="142"/>
      <c r="AN1" s="142"/>
      <c r="AO1" s="142"/>
      <c r="AP1" s="138"/>
      <c r="AQ1" s="143"/>
      <c r="AR1" s="138"/>
      <c r="AS1" s="138"/>
      <c r="AT1" s="138"/>
      <c r="AU1" s="138"/>
      <c r="AV1" s="138"/>
      <c r="AW1" s="138"/>
      <c r="AX1" s="138"/>
      <c r="AY1" s="138"/>
    </row>
    <row r="2" spans="1:53">
      <c r="A2" s="145"/>
      <c r="B2" s="146"/>
      <c r="C2" s="145"/>
      <c r="D2" s="145"/>
      <c r="E2" s="145"/>
      <c r="F2" s="145"/>
      <c r="G2" s="145"/>
      <c r="H2" s="145"/>
      <c r="I2" s="717"/>
      <c r="K2" s="145"/>
      <c r="L2" s="145"/>
      <c r="M2" s="145"/>
      <c r="N2" s="145"/>
      <c r="O2" s="145"/>
      <c r="P2" s="145"/>
      <c r="Q2" s="145"/>
      <c r="R2" s="145"/>
      <c r="S2" s="145"/>
      <c r="U2" s="145"/>
      <c r="V2" s="145"/>
      <c r="X2" s="145"/>
      <c r="Y2" s="145"/>
      <c r="Z2" s="145"/>
      <c r="AA2" s="146"/>
      <c r="AB2" s="145"/>
      <c r="AC2" s="145"/>
      <c r="AD2" s="145"/>
      <c r="AE2" s="146"/>
      <c r="AF2" s="146"/>
      <c r="AG2" s="145"/>
      <c r="AH2" s="146"/>
      <c r="AI2" s="146"/>
      <c r="AJ2" s="146"/>
      <c r="AK2" s="146"/>
      <c r="AL2" s="146"/>
      <c r="AM2" s="146"/>
      <c r="AN2" s="147"/>
      <c r="AO2" s="146"/>
      <c r="AP2" s="146"/>
      <c r="AQ2" s="146"/>
      <c r="AR2" s="146"/>
      <c r="AS2" s="146"/>
      <c r="AT2" s="146"/>
      <c r="AU2" s="146"/>
      <c r="AV2" s="146"/>
      <c r="AW2" s="146"/>
      <c r="AX2" s="146"/>
      <c r="AY2" s="146"/>
      <c r="AZ2" s="146"/>
    </row>
    <row r="3" spans="1:53" ht="26.25">
      <c r="A3" s="145"/>
      <c r="B3" s="934" t="s">
        <v>408</v>
      </c>
      <c r="C3" s="934"/>
      <c r="D3" s="934"/>
      <c r="E3" s="934"/>
      <c r="F3" s="934"/>
      <c r="G3" s="934"/>
      <c r="H3" s="934"/>
      <c r="I3" s="934"/>
      <c r="J3" s="145"/>
      <c r="K3" s="145"/>
      <c r="L3" s="145"/>
      <c r="N3" s="145"/>
      <c r="O3" s="145"/>
      <c r="P3" s="145"/>
      <c r="Q3" s="145"/>
      <c r="R3" s="145"/>
      <c r="S3" s="145"/>
      <c r="T3" s="145"/>
      <c r="U3" s="145"/>
      <c r="W3" s="145"/>
      <c r="X3" s="145"/>
      <c r="Z3" s="145"/>
      <c r="AB3" s="145"/>
      <c r="AC3" s="148"/>
      <c r="AD3" s="148"/>
      <c r="AE3" s="145"/>
      <c r="AF3" s="145"/>
      <c r="AG3" s="145"/>
      <c r="AH3" s="146"/>
      <c r="AI3" s="146"/>
      <c r="AJ3" s="146"/>
      <c r="AK3" s="146"/>
      <c r="AL3" s="146"/>
      <c r="AM3" s="146"/>
      <c r="AN3" s="147"/>
      <c r="AO3" s="146"/>
      <c r="AP3" s="146"/>
      <c r="AQ3" s="146"/>
      <c r="AR3" s="146"/>
      <c r="AS3" s="146"/>
      <c r="AT3" s="146"/>
      <c r="AU3" s="146"/>
      <c r="AV3" s="146"/>
      <c r="AW3" s="146"/>
      <c r="AX3" s="146"/>
      <c r="AY3" s="146"/>
      <c r="AZ3" s="146"/>
    </row>
    <row r="4" spans="1:53" ht="15.75">
      <c r="A4" s="145"/>
      <c r="B4" s="149" t="s">
        <v>395</v>
      </c>
      <c r="C4" s="150">
        <f>corpyear</f>
        <v>2005</v>
      </c>
      <c r="D4" s="151"/>
      <c r="E4" s="145"/>
      <c r="F4" s="145"/>
      <c r="G4" s="145"/>
      <c r="H4" s="145"/>
      <c r="I4" s="145"/>
      <c r="J4" s="145"/>
      <c r="K4" s="145"/>
      <c r="L4" s="145"/>
      <c r="M4" s="145"/>
      <c r="N4" s="145"/>
      <c r="O4" s="145"/>
      <c r="P4" s="145"/>
      <c r="Q4" s="145"/>
      <c r="R4" s="145"/>
      <c r="S4" s="949" t="s">
        <v>420</v>
      </c>
      <c r="T4" s="949"/>
      <c r="U4" s="949"/>
      <c r="V4" s="949" t="s">
        <v>414</v>
      </c>
      <c r="W4" s="949"/>
      <c r="X4" s="949"/>
      <c r="Y4" s="145"/>
      <c r="Z4" s="145"/>
      <c r="AA4" s="145"/>
      <c r="AB4" s="145"/>
      <c r="AC4" s="145"/>
      <c r="AD4" s="145"/>
      <c r="AE4" s="146"/>
      <c r="AF4" s="146"/>
      <c r="AG4" s="145"/>
      <c r="AH4" s="146"/>
      <c r="AI4" s="146"/>
      <c r="AJ4" s="146"/>
      <c r="AK4" s="146"/>
      <c r="AL4" s="146"/>
      <c r="AM4" s="146"/>
      <c r="AN4" s="147"/>
      <c r="AO4" s="146"/>
      <c r="AP4" s="146"/>
      <c r="AQ4" s="146"/>
      <c r="AR4" s="146"/>
      <c r="AS4" s="146"/>
      <c r="AT4" s="146"/>
      <c r="AU4" s="146"/>
      <c r="AV4" s="146"/>
      <c r="AW4" s="146"/>
      <c r="AX4" s="146"/>
      <c r="AY4" s="146"/>
      <c r="AZ4" s="146"/>
    </row>
    <row r="5" spans="1:53">
      <c r="A5" s="145"/>
      <c r="B5" s="152"/>
      <c r="C5" s="151"/>
      <c r="D5" s="151"/>
      <c r="E5" s="145"/>
      <c r="F5" s="145"/>
      <c r="G5" s="145"/>
      <c r="H5" s="145"/>
      <c r="I5" s="145"/>
      <c r="J5" s="145"/>
      <c r="K5" s="145"/>
      <c r="L5" s="145"/>
      <c r="M5" s="145"/>
      <c r="N5" s="145"/>
      <c r="O5" s="145"/>
      <c r="P5" s="145"/>
      <c r="Q5" s="145"/>
      <c r="R5" s="145"/>
      <c r="S5" s="153"/>
      <c r="T5" s="154" t="s">
        <v>421</v>
      </c>
      <c r="U5" s="155"/>
      <c r="V5" s="153"/>
      <c r="W5" s="154" t="s">
        <v>421</v>
      </c>
      <c r="X5" s="155"/>
      <c r="Y5" s="145"/>
      <c r="Z5" s="145"/>
      <c r="AA5" s="145"/>
      <c r="AB5" s="145"/>
      <c r="AC5" s="145"/>
      <c r="AD5" s="145"/>
      <c r="AE5" s="146"/>
      <c r="AF5" s="146"/>
      <c r="AG5" s="145"/>
      <c r="AH5" s="146"/>
      <c r="AI5" s="146"/>
      <c r="AJ5" s="146"/>
      <c r="AK5" s="146"/>
      <c r="AL5" s="146"/>
      <c r="AM5" s="146"/>
      <c r="AN5" s="147"/>
      <c r="AO5" s="146"/>
      <c r="AP5" s="146"/>
      <c r="AQ5" s="146"/>
      <c r="AR5" s="146"/>
      <c r="AS5" s="146"/>
      <c r="AT5" s="146"/>
      <c r="AU5" s="146"/>
      <c r="AV5" s="146"/>
      <c r="AW5" s="146"/>
      <c r="AX5" s="146"/>
      <c r="AY5" s="146"/>
      <c r="AZ5" s="146"/>
    </row>
    <row r="6" spans="1:53" ht="12.75" customHeight="1">
      <c r="A6" s="145"/>
      <c r="B6" s="156" t="s">
        <v>442</v>
      </c>
      <c r="C6" s="951" t="s">
        <v>780</v>
      </c>
      <c r="D6" s="951"/>
      <c r="E6" s="951"/>
      <c r="F6" s="951"/>
      <c r="G6" s="951"/>
      <c r="H6" s="951"/>
      <c r="I6" s="951"/>
      <c r="J6" s="145"/>
      <c r="K6" s="145"/>
      <c r="L6" s="145"/>
      <c r="M6" s="145"/>
      <c r="N6" s="145"/>
      <c r="O6" s="145"/>
      <c r="P6" s="145"/>
      <c r="Q6" s="145"/>
      <c r="R6" s="145"/>
      <c r="S6" s="821" t="s">
        <v>445</v>
      </c>
      <c r="T6" s="158"/>
      <c r="U6" s="159">
        <v>0.5</v>
      </c>
      <c r="V6" s="158" t="s">
        <v>444</v>
      </c>
      <c r="W6" s="158"/>
      <c r="X6" s="159">
        <v>0.25</v>
      </c>
      <c r="Z6" s="145"/>
      <c r="AB6" s="145"/>
      <c r="AC6" s="145"/>
      <c r="AD6" s="145"/>
      <c r="AE6" s="146"/>
      <c r="AF6" s="146"/>
      <c r="AG6" s="145"/>
      <c r="AH6" s="146"/>
      <c r="AI6" s="146"/>
      <c r="AJ6" s="146"/>
      <c r="AK6" s="146"/>
      <c r="AL6" s="146"/>
      <c r="AM6" s="146"/>
      <c r="AN6" s="147"/>
      <c r="AO6" s="146"/>
      <c r="AP6" s="146"/>
      <c r="AQ6" s="146"/>
      <c r="AR6" s="146"/>
      <c r="AS6" s="146"/>
      <c r="AT6" s="146"/>
      <c r="AU6" s="146"/>
      <c r="AV6" s="146"/>
      <c r="AW6" s="146"/>
      <c r="AX6" s="146"/>
      <c r="AY6" s="146"/>
      <c r="AZ6" s="146"/>
    </row>
    <row r="7" spans="1:53" ht="12.75" customHeight="1">
      <c r="A7" s="145"/>
      <c r="B7" s="152"/>
      <c r="C7" s="151"/>
      <c r="D7" s="151"/>
      <c r="E7" s="145"/>
      <c r="F7" s="145"/>
      <c r="G7" s="145"/>
      <c r="H7" s="145"/>
      <c r="I7" s="145"/>
      <c r="J7" s="145"/>
      <c r="K7" s="145"/>
      <c r="L7" s="145"/>
      <c r="M7" s="145"/>
      <c r="N7" s="145"/>
      <c r="O7" s="145"/>
      <c r="P7" s="145"/>
      <c r="Q7" s="145"/>
      <c r="R7" s="145"/>
      <c r="S7" s="145"/>
      <c r="T7" s="145"/>
      <c r="U7" s="145"/>
      <c r="V7" s="145"/>
      <c r="W7" s="145"/>
      <c r="X7" s="146"/>
      <c r="Y7" s="145"/>
      <c r="Z7" s="145"/>
      <c r="AA7" s="146"/>
      <c r="AB7" s="145"/>
      <c r="AC7" s="145"/>
      <c r="AD7" s="145"/>
      <c r="AE7" s="146"/>
      <c r="AF7" s="146"/>
      <c r="AG7" s="145"/>
      <c r="AH7" s="146"/>
      <c r="AI7" s="146"/>
      <c r="AJ7" s="146"/>
      <c r="AK7" s="146"/>
      <c r="AL7" s="146"/>
      <c r="AM7" s="146"/>
      <c r="AN7" s="147"/>
      <c r="AO7" s="146"/>
      <c r="AP7" s="146"/>
      <c r="AQ7" s="146"/>
      <c r="AR7" s="146"/>
      <c r="AS7" s="146"/>
      <c r="AT7" s="146"/>
      <c r="AU7" s="146"/>
      <c r="AV7" s="146"/>
      <c r="AW7" s="146"/>
      <c r="AX7" s="146"/>
      <c r="AY7" s="146"/>
      <c r="AZ7" s="146"/>
    </row>
    <row r="8" spans="1:53" s="166" customFormat="1">
      <c r="A8" s="145"/>
      <c r="B8" s="160"/>
      <c r="C8" s="161"/>
      <c r="D8" s="947" t="s">
        <v>413</v>
      </c>
      <c r="E8" s="947"/>
      <c r="F8" s="947"/>
      <c r="G8" s="947" t="s">
        <v>415</v>
      </c>
      <c r="H8" s="947"/>
      <c r="I8" s="947"/>
      <c r="J8" s="947" t="s">
        <v>417</v>
      </c>
      <c r="K8" s="947"/>
      <c r="L8" s="947"/>
      <c r="M8" s="947" t="s">
        <v>418</v>
      </c>
      <c r="N8" s="947"/>
      <c r="O8" s="947"/>
      <c r="P8" s="947" t="s">
        <v>419</v>
      </c>
      <c r="Q8" s="947"/>
      <c r="R8" s="947"/>
      <c r="S8" s="947" t="s">
        <v>420</v>
      </c>
      <c r="T8" s="947"/>
      <c r="U8" s="947"/>
      <c r="V8" s="947" t="s">
        <v>416</v>
      </c>
      <c r="W8" s="947"/>
      <c r="X8" s="947"/>
      <c r="Y8" s="947" t="s">
        <v>349</v>
      </c>
      <c r="Z8" s="947"/>
      <c r="AA8" s="947"/>
      <c r="AB8" s="145"/>
      <c r="AC8" s="163"/>
      <c r="AD8" s="163"/>
      <c r="AE8" s="163" t="s">
        <v>424</v>
      </c>
      <c r="AF8" s="163" t="s">
        <v>424</v>
      </c>
      <c r="AG8" s="162"/>
      <c r="AH8" s="162"/>
      <c r="AI8" s="163" t="s">
        <v>439</v>
      </c>
      <c r="AJ8" s="163" t="s">
        <v>439</v>
      </c>
      <c r="AK8" s="163" t="s">
        <v>439</v>
      </c>
      <c r="AL8" s="163" t="s">
        <v>439</v>
      </c>
      <c r="AM8" s="164"/>
      <c r="AN8" s="165"/>
      <c r="AO8" s="164"/>
      <c r="AP8" s="164"/>
      <c r="AQ8" s="164"/>
      <c r="AR8" s="164"/>
      <c r="AS8" s="164"/>
      <c r="AT8" s="164"/>
      <c r="AU8" s="164"/>
      <c r="AV8" s="164"/>
      <c r="AW8" s="164"/>
      <c r="AX8" s="164"/>
      <c r="AY8" s="164"/>
      <c r="AZ8" s="164"/>
      <c r="BA8" s="164"/>
    </row>
    <row r="9" spans="1:53" s="89" customFormat="1" ht="49.5" customHeight="1">
      <c r="A9" s="53"/>
      <c r="B9" s="815" t="s">
        <v>407</v>
      </c>
      <c r="C9" s="820" t="s">
        <v>365</v>
      </c>
      <c r="D9" s="80" t="s">
        <v>409</v>
      </c>
      <c r="E9" s="80" t="s">
        <v>410</v>
      </c>
      <c r="F9" s="80" t="s">
        <v>411</v>
      </c>
      <c r="G9" s="80" t="s">
        <v>409</v>
      </c>
      <c r="H9" s="80" t="s">
        <v>410</v>
      </c>
      <c r="I9" s="80" t="s">
        <v>411</v>
      </c>
      <c r="J9" s="80" t="s">
        <v>409</v>
      </c>
      <c r="K9" s="80" t="s">
        <v>410</v>
      </c>
      <c r="L9" s="80" t="s">
        <v>411</v>
      </c>
      <c r="M9" s="80" t="s">
        <v>42</v>
      </c>
      <c r="N9" s="80" t="s">
        <v>410</v>
      </c>
      <c r="O9" s="80" t="s">
        <v>411</v>
      </c>
      <c r="P9" s="80" t="s">
        <v>409</v>
      </c>
      <c r="Q9" s="80" t="s">
        <v>410</v>
      </c>
      <c r="R9" s="80" t="s">
        <v>411</v>
      </c>
      <c r="S9" s="80" t="s">
        <v>409</v>
      </c>
      <c r="T9" s="80" t="s">
        <v>410</v>
      </c>
      <c r="U9" s="80" t="s">
        <v>411</v>
      </c>
      <c r="V9" s="80" t="s">
        <v>409</v>
      </c>
      <c r="W9" s="80" t="s">
        <v>410</v>
      </c>
      <c r="X9" s="80" t="s">
        <v>411</v>
      </c>
      <c r="Y9" s="80" t="s">
        <v>423</v>
      </c>
      <c r="Z9" s="80" t="s">
        <v>410</v>
      </c>
      <c r="AA9" s="80" t="s">
        <v>411</v>
      </c>
      <c r="AB9" s="53"/>
      <c r="AC9" s="815" t="s">
        <v>407</v>
      </c>
      <c r="AD9" s="820" t="s">
        <v>365</v>
      </c>
      <c r="AE9" s="85" t="s">
        <v>425</v>
      </c>
      <c r="AF9" s="85" t="s">
        <v>426</v>
      </c>
      <c r="AG9" s="85" t="s">
        <v>427</v>
      </c>
      <c r="AH9" s="85" t="s">
        <v>428</v>
      </c>
      <c r="AI9" s="85" t="s">
        <v>434</v>
      </c>
      <c r="AJ9" s="85" t="s">
        <v>437</v>
      </c>
      <c r="AK9" s="85" t="s">
        <v>435</v>
      </c>
      <c r="AL9" s="85" t="s">
        <v>438</v>
      </c>
      <c r="AM9" s="79"/>
      <c r="AN9" s="722" t="s">
        <v>379</v>
      </c>
      <c r="AO9" s="723" t="s">
        <v>484</v>
      </c>
      <c r="AP9" s="79"/>
      <c r="AQ9" s="79"/>
      <c r="AR9" s="79"/>
      <c r="AS9" s="79"/>
      <c r="AT9" s="79"/>
      <c r="AU9" s="79"/>
      <c r="AV9" s="79"/>
      <c r="AW9" s="79"/>
      <c r="AX9" s="79"/>
      <c r="AY9" s="79"/>
      <c r="AZ9" s="79"/>
      <c r="BA9" s="79"/>
    </row>
    <row r="10" spans="1:53" s="178" customFormat="1" ht="22.5">
      <c r="A10" s="145"/>
      <c r="B10" s="713" t="str">
        <f>'Sam-Pojazdy-WSAD'!B10</f>
        <v>Administracja Domów Miejskich „ADM” Sp. z o.o.</v>
      </c>
      <c r="C10" s="726" t="str">
        <f>'Sam-Pojazdy-WSAD'!C10</f>
        <v>ADM</v>
      </c>
      <c r="D10" s="169">
        <f>$AO10*'Sam-Pojazdy-WSAD'!D10</f>
        <v>3320.61</v>
      </c>
      <c r="E10" s="170">
        <f>$AO10*'Sam-Pojazdy-WSAD'!E10</f>
        <v>12647.34</v>
      </c>
      <c r="F10" s="171">
        <f>D10*'Wskazniki emisji paliw'!L$19</f>
        <v>7.9648257719520004</v>
      </c>
      <c r="G10" s="169">
        <f>$AO10*'Sam-Pojazdy-WSAD'!H10</f>
        <v>0</v>
      </c>
      <c r="H10" s="170">
        <f>$AO10*'Sam-Pojazdy-WSAD'!I10</f>
        <v>0</v>
      </c>
      <c r="I10" s="171">
        <f>G10*'Wskazniki emisji paliw'!L$18</f>
        <v>0</v>
      </c>
      <c r="J10" s="169">
        <f>$AO10*'Sam-Pojazdy-WSAD'!L10</f>
        <v>0</v>
      </c>
      <c r="K10" s="170">
        <f>$AO10*'Sam-Pojazdy-WSAD'!M10</f>
        <v>0</v>
      </c>
      <c r="L10" s="171">
        <f>J10*'Wskazniki emisji paliw'!$L$28</f>
        <v>0</v>
      </c>
      <c r="M10" s="169">
        <f>$AO10*'Sam-Pojazdy-WSAD'!O10</f>
        <v>0</v>
      </c>
      <c r="N10" s="170">
        <f>$AO10*'Sam-Pojazdy-WSAD'!P10</f>
        <v>0</v>
      </c>
      <c r="O10" s="171">
        <f>M10*'Wskazniki emisji paliw'!M$29</f>
        <v>0</v>
      </c>
      <c r="P10" s="169">
        <f>$AO10*'Sam-Pojazdy-WSAD'!R10</f>
        <v>0</v>
      </c>
      <c r="Q10" s="170">
        <f>$AO10*'Sam-Pojazdy-WSAD'!S10</f>
        <v>0</v>
      </c>
      <c r="R10" s="171">
        <f>P10*'Wskazniki emisji paliw'!L$21</f>
        <v>0</v>
      </c>
      <c r="S10" s="169">
        <f>$AO10*'Sam-Pojazdy-WSAD'!U10</f>
        <v>0</v>
      </c>
      <c r="T10" s="170">
        <f>$AO10*'Sam-Pojazdy-WSAD'!V10</f>
        <v>0</v>
      </c>
      <c r="U10" s="171">
        <f>S10*'Wskazniki emisji paliw'!L$19*(1-U$6)</f>
        <v>0</v>
      </c>
      <c r="V10" s="169">
        <f>$AO10*'Sam-Pojazdy-WSAD'!X10</f>
        <v>0</v>
      </c>
      <c r="W10" s="170">
        <f>$AO10*'Sam-Pojazdy-WSAD'!Y10</f>
        <v>0</v>
      </c>
      <c r="X10" s="171">
        <f>V10*'Wskazniki emisji paliw'!L$18*(1-X$6)</f>
        <v>0</v>
      </c>
      <c r="Y10" s="169">
        <f>$AO10*'Sam-Pojazdy-WSAD'!AA10</f>
        <v>0</v>
      </c>
      <c r="Z10" s="170">
        <f>$AO10*'Sam-Pojazdy-WSAD'!AB10</f>
        <v>0</v>
      </c>
      <c r="AA10" s="171">
        <f>Y10*(HLOOKUP(Ogolne!$D$6,'Wskazniki emisji elektrycznosc'!$B$8:$G$29,Ogolne!$E$7,TRUE))/1000</f>
        <v>0</v>
      </c>
      <c r="AB10" s="145"/>
      <c r="AC10" s="167" t="str">
        <f t="shared" ref="AC10:AC27" si="0">B10</f>
        <v>Administracja Domów Miejskich „ADM” Sp. z o.o.</v>
      </c>
      <c r="AD10" s="167" t="str">
        <f t="shared" ref="AD10:AD27" si="1">C10</f>
        <v>ADM</v>
      </c>
      <c r="AE10" s="172">
        <f>'Sam-Pojazdy-WSAD'!AG10</f>
        <v>1</v>
      </c>
      <c r="AF10" s="172">
        <f>'Sam-Pojazdy-WSAD'!AH10</f>
        <v>0</v>
      </c>
      <c r="AG10" s="170">
        <f t="shared" ref="AG10:AG27" si="2">E10+H10+K10+N10+Q10+T10+W10+Z10</f>
        <v>12647.34</v>
      </c>
      <c r="AH10" s="171">
        <f t="shared" ref="AH10:AH27" si="3">F10+I10+L10+O10+R10+U10+X10+AA10</f>
        <v>7.9648257719520004</v>
      </c>
      <c r="AI10" s="173" t="str">
        <f t="shared" ref="AI10:AI41" si="4">IFERROR(AG10/AF10,"")</f>
        <v/>
      </c>
      <c r="AJ10" s="174">
        <f t="shared" ref="AJ10:AJ41" si="5">IFERROR(AG10/AE10,"")</f>
        <v>12647.34</v>
      </c>
      <c r="AK10" s="175" t="str">
        <f t="shared" ref="AK10:AK41" si="6">IFERROR(AH10/AF10,"")</f>
        <v/>
      </c>
      <c r="AL10" s="176">
        <f t="shared" ref="AL10:AL41" si="7">IFERROR(AH10/AE10,"")</f>
        <v>7.9648257719520004</v>
      </c>
      <c r="AM10" s="177"/>
      <c r="AN10" s="718" t="str">
        <f>'Sam-Pojazdy-WSAD'!AP10</f>
        <v>brak danych dot. Przebytych km w ciągu roku</v>
      </c>
      <c r="AO10" s="720">
        <v>1</v>
      </c>
      <c r="AP10" s="177"/>
      <c r="AQ10" s="177"/>
      <c r="AR10" s="177"/>
      <c r="AS10" s="177"/>
      <c r="AT10" s="177"/>
      <c r="AU10" s="177"/>
      <c r="AV10" s="177"/>
      <c r="AW10" s="177"/>
      <c r="AX10" s="177"/>
      <c r="AY10" s="177"/>
      <c r="AZ10" s="177"/>
      <c r="BA10" s="177"/>
    </row>
    <row r="11" spans="1:53" s="178" customFormat="1">
      <c r="A11" s="145"/>
      <c r="B11" s="732" t="str">
        <f>'Sam-Pojazdy-WSAD'!B11</f>
        <v>Bydgoski Fundusz Poręczeń Kredytowych Sp. z o.o.</v>
      </c>
      <c r="C11" s="733" t="str">
        <f>'Sam-Pojazdy-WSAD'!C11</f>
        <v>BFPK</v>
      </c>
      <c r="D11" s="169">
        <f>$AO11*'Sam-Pojazdy-WSAD'!D11</f>
        <v>0</v>
      </c>
      <c r="E11" s="170">
        <f>$AO11*'Sam-Pojazdy-WSAD'!E11</f>
        <v>0</v>
      </c>
      <c r="F11" s="171">
        <f>D11*'Wskazniki emisji paliw'!L$19</f>
        <v>0</v>
      </c>
      <c r="G11" s="169">
        <f>$AO11*'Sam-Pojazdy-WSAD'!H11</f>
        <v>0</v>
      </c>
      <c r="H11" s="170">
        <f>$AO11*'Sam-Pojazdy-WSAD'!I11</f>
        <v>0</v>
      </c>
      <c r="I11" s="171">
        <f>G11*'Wskazniki emisji paliw'!L$18</f>
        <v>0</v>
      </c>
      <c r="J11" s="169">
        <f>$AO11*'Sam-Pojazdy-WSAD'!L11</f>
        <v>0</v>
      </c>
      <c r="K11" s="170">
        <f>$AO11*'Sam-Pojazdy-WSAD'!M11</f>
        <v>0</v>
      </c>
      <c r="L11" s="171">
        <f>J11*'Wskazniki emisji paliw'!$L$28</f>
        <v>0</v>
      </c>
      <c r="M11" s="169">
        <f>$AO11*'Sam-Pojazdy-WSAD'!O11</f>
        <v>0</v>
      </c>
      <c r="N11" s="170">
        <f>$AO11*'Sam-Pojazdy-WSAD'!P11</f>
        <v>0</v>
      </c>
      <c r="O11" s="171">
        <f>M11*'Wskazniki emisji paliw'!M$29</f>
        <v>0</v>
      </c>
      <c r="P11" s="169">
        <f>$AO11*'Sam-Pojazdy-WSAD'!R11</f>
        <v>0</v>
      </c>
      <c r="Q11" s="170">
        <f>$AO11*'Sam-Pojazdy-WSAD'!S11</f>
        <v>0</v>
      </c>
      <c r="R11" s="171">
        <f>P11*'Wskazniki emisji paliw'!L$21</f>
        <v>0</v>
      </c>
      <c r="S11" s="169">
        <f>$AO11*'Sam-Pojazdy-WSAD'!U11</f>
        <v>0</v>
      </c>
      <c r="T11" s="170">
        <f>$AO11*'Sam-Pojazdy-WSAD'!V11</f>
        <v>0</v>
      </c>
      <c r="U11" s="171">
        <f>S11*'Wskazniki emisji paliw'!L$19*(1-U$6)</f>
        <v>0</v>
      </c>
      <c r="V11" s="169">
        <f>$AO11*'Sam-Pojazdy-WSAD'!X11</f>
        <v>0</v>
      </c>
      <c r="W11" s="170">
        <f>$AO11*'Sam-Pojazdy-WSAD'!Y11</f>
        <v>0</v>
      </c>
      <c r="X11" s="171">
        <f>V11*'Wskazniki emisji paliw'!L$18*(1-X$6)</f>
        <v>0</v>
      </c>
      <c r="Y11" s="169">
        <f>$AO11*'Sam-Pojazdy-WSAD'!AA11</f>
        <v>0</v>
      </c>
      <c r="Z11" s="170">
        <f>$AO11*'Sam-Pojazdy-WSAD'!AB11</f>
        <v>0</v>
      </c>
      <c r="AA11" s="171">
        <f>Y11*(HLOOKUP(Ogolne!$D$6,'Wskazniki emisji elektrycznosc'!$B$8:$G$29,Ogolne!$E$7,TRUE))/1000</f>
        <v>0</v>
      </c>
      <c r="AB11" s="145"/>
      <c r="AC11" s="167" t="str">
        <f t="shared" si="0"/>
        <v>Bydgoski Fundusz Poręczeń Kredytowych Sp. z o.o.</v>
      </c>
      <c r="AD11" s="167" t="str">
        <f t="shared" si="1"/>
        <v>BFPK</v>
      </c>
      <c r="AE11" s="172">
        <f>'Sam-Pojazdy-WSAD'!AG11</f>
        <v>0</v>
      </c>
      <c r="AF11" s="172">
        <f>'Sam-Pojazdy-WSAD'!AH11</f>
        <v>0</v>
      </c>
      <c r="AG11" s="170">
        <f t="shared" si="2"/>
        <v>0</v>
      </c>
      <c r="AH11" s="171">
        <f t="shared" si="3"/>
        <v>0</v>
      </c>
      <c r="AI11" s="173" t="str">
        <f t="shared" si="4"/>
        <v/>
      </c>
      <c r="AJ11" s="174" t="str">
        <f t="shared" si="5"/>
        <v/>
      </c>
      <c r="AK11" s="175" t="str">
        <f t="shared" si="6"/>
        <v/>
      </c>
      <c r="AL11" s="176" t="str">
        <f t="shared" si="7"/>
        <v/>
      </c>
      <c r="AM11" s="177"/>
      <c r="AN11" s="718">
        <f>'Sam-Pojazdy-WSAD'!AP11</f>
        <v>0</v>
      </c>
      <c r="AO11" s="720">
        <v>0.50019999999999998</v>
      </c>
      <c r="AP11" s="177"/>
      <c r="AQ11" s="177"/>
      <c r="AR11" s="177"/>
      <c r="AS11" s="177"/>
      <c r="AT11" s="177"/>
      <c r="AU11" s="177"/>
      <c r="AV11" s="177"/>
      <c r="AW11" s="177"/>
      <c r="AX11" s="177"/>
      <c r="AY11" s="177"/>
      <c r="AZ11" s="177"/>
      <c r="BA11" s="177"/>
    </row>
    <row r="12" spans="1:53" s="178" customFormat="1">
      <c r="A12" s="145"/>
      <c r="B12" s="713" t="str">
        <f>'Sam-Pojazdy-WSAD'!B12</f>
        <v>Bydgoski Ośrodek Rehabilitacji ,Terapii Uzależnień i Profilaktyki "BORPA"</v>
      </c>
      <c r="C12" s="726" t="str">
        <f>'Sam-Pojazdy-WSAD'!C12</f>
        <v>BORPA</v>
      </c>
      <c r="D12" s="169">
        <f>$AO12*'Sam-Pojazdy-WSAD'!D12</f>
        <v>0</v>
      </c>
      <c r="E12" s="170">
        <f>$AO12*'Sam-Pojazdy-WSAD'!E12</f>
        <v>0</v>
      </c>
      <c r="F12" s="171">
        <f>D12*'Wskazniki emisji paliw'!L$19</f>
        <v>0</v>
      </c>
      <c r="G12" s="169">
        <f>$AO12*'Sam-Pojazdy-WSAD'!H12</f>
        <v>0</v>
      </c>
      <c r="H12" s="170">
        <f>$AO12*'Sam-Pojazdy-WSAD'!I12</f>
        <v>0</v>
      </c>
      <c r="I12" s="171">
        <f>G12*'Wskazniki emisji paliw'!L$18</f>
        <v>0</v>
      </c>
      <c r="J12" s="169">
        <f>$AO12*'Sam-Pojazdy-WSAD'!L12</f>
        <v>0</v>
      </c>
      <c r="K12" s="170">
        <f>$AO12*'Sam-Pojazdy-WSAD'!M12</f>
        <v>0</v>
      </c>
      <c r="L12" s="171">
        <f>J12*'Wskazniki emisji paliw'!$L$28</f>
        <v>0</v>
      </c>
      <c r="M12" s="169">
        <f>$AO12*'Sam-Pojazdy-WSAD'!O12</f>
        <v>0</v>
      </c>
      <c r="N12" s="170">
        <f>$AO12*'Sam-Pojazdy-WSAD'!P12</f>
        <v>0</v>
      </c>
      <c r="O12" s="171">
        <f>M12*'Wskazniki emisji paliw'!M$29</f>
        <v>0</v>
      </c>
      <c r="P12" s="169">
        <f>$AO12*'Sam-Pojazdy-WSAD'!R12</f>
        <v>0</v>
      </c>
      <c r="Q12" s="170">
        <f>$AO12*'Sam-Pojazdy-WSAD'!S12</f>
        <v>0</v>
      </c>
      <c r="R12" s="171">
        <f>P12*'Wskazniki emisji paliw'!L$21</f>
        <v>0</v>
      </c>
      <c r="S12" s="169">
        <f>$AO12*'Sam-Pojazdy-WSAD'!U12</f>
        <v>0</v>
      </c>
      <c r="T12" s="170">
        <f>$AO12*'Sam-Pojazdy-WSAD'!V12</f>
        <v>0</v>
      </c>
      <c r="U12" s="171">
        <f>S12*'Wskazniki emisji paliw'!L$19*(1-U$6)</f>
        <v>0</v>
      </c>
      <c r="V12" s="169">
        <f>$AO12*'Sam-Pojazdy-WSAD'!X12</f>
        <v>0</v>
      </c>
      <c r="W12" s="170">
        <f>$AO12*'Sam-Pojazdy-WSAD'!Y12</f>
        <v>0</v>
      </c>
      <c r="X12" s="171">
        <f>V12*'Wskazniki emisji paliw'!L$18*(1-X$6)</f>
        <v>0</v>
      </c>
      <c r="Y12" s="169">
        <f>$AO12*'Sam-Pojazdy-WSAD'!AA12</f>
        <v>0</v>
      </c>
      <c r="Z12" s="170">
        <f>$AO12*'Sam-Pojazdy-WSAD'!AB12</f>
        <v>0</v>
      </c>
      <c r="AA12" s="171">
        <f>Y12*(HLOOKUP(Ogolne!$D$6,'Wskazniki emisji elektrycznosc'!$B$8:$G$29,Ogolne!$E$7,TRUE))/1000</f>
        <v>0</v>
      </c>
      <c r="AB12" s="145"/>
      <c r="AC12" s="167" t="str">
        <f t="shared" si="0"/>
        <v>Bydgoski Ośrodek Rehabilitacji ,Terapii Uzależnień i Profilaktyki "BORPA"</v>
      </c>
      <c r="AD12" s="167" t="str">
        <f t="shared" si="1"/>
        <v>BORPA</v>
      </c>
      <c r="AE12" s="172">
        <f>'Sam-Pojazdy-WSAD'!AG12</f>
        <v>2</v>
      </c>
      <c r="AF12" s="172">
        <f>'Sam-Pojazdy-WSAD'!AH12</f>
        <v>42930</v>
      </c>
      <c r="AG12" s="170">
        <f t="shared" si="2"/>
        <v>0</v>
      </c>
      <c r="AH12" s="171">
        <f t="shared" si="3"/>
        <v>0</v>
      </c>
      <c r="AI12" s="173">
        <f t="shared" si="4"/>
        <v>0</v>
      </c>
      <c r="AJ12" s="174">
        <f t="shared" si="5"/>
        <v>0</v>
      </c>
      <c r="AK12" s="175">
        <f t="shared" si="6"/>
        <v>0</v>
      </c>
      <c r="AL12" s="176">
        <f t="shared" si="7"/>
        <v>0</v>
      </c>
      <c r="AM12" s="177"/>
      <c r="AN12" s="718">
        <f>'Sam-Pojazdy-WSAD'!AP12</f>
        <v>0</v>
      </c>
      <c r="AO12" s="720">
        <v>1</v>
      </c>
      <c r="AP12" s="177"/>
      <c r="AQ12" s="177"/>
      <c r="AR12" s="177"/>
      <c r="AS12" s="177"/>
      <c r="AT12" s="177"/>
      <c r="AU12" s="177"/>
      <c r="AV12" s="177"/>
      <c r="AW12" s="177"/>
      <c r="AX12" s="177"/>
      <c r="AY12" s="177"/>
      <c r="AZ12" s="177"/>
      <c r="BA12" s="177"/>
    </row>
    <row r="13" spans="1:53" s="178" customFormat="1">
      <c r="A13" s="145"/>
      <c r="B13" s="713" t="str">
        <f>'Sam-Pojazdy-WSAD'!B13</f>
        <v>Bydgoski Park Przemysłowy Sp. z o.o.</v>
      </c>
      <c r="C13" s="726" t="str">
        <f>'Sam-Pojazdy-WSAD'!C13</f>
        <v>BPP</v>
      </c>
      <c r="D13" s="169">
        <f>$AO13*'Sam-Pojazdy-WSAD'!D13</f>
        <v>0</v>
      </c>
      <c r="E13" s="170">
        <f>$AO13*'Sam-Pojazdy-WSAD'!E13</f>
        <v>0</v>
      </c>
      <c r="F13" s="171">
        <f>D13*'Wskazniki emisji paliw'!L$19</f>
        <v>0</v>
      </c>
      <c r="G13" s="169">
        <f>$AO13*'Sam-Pojazdy-WSAD'!H13</f>
        <v>0</v>
      </c>
      <c r="H13" s="170">
        <f>$AO13*'Sam-Pojazdy-WSAD'!I13</f>
        <v>0</v>
      </c>
      <c r="I13" s="171">
        <f>G13*'Wskazniki emisji paliw'!L$18</f>
        <v>0</v>
      </c>
      <c r="J13" s="169">
        <f>$AO13*'Sam-Pojazdy-WSAD'!L13</f>
        <v>0</v>
      </c>
      <c r="K13" s="170">
        <f>$AO13*'Sam-Pojazdy-WSAD'!M13</f>
        <v>0</v>
      </c>
      <c r="L13" s="171">
        <f>J13*'Wskazniki emisji paliw'!$L$28</f>
        <v>0</v>
      </c>
      <c r="M13" s="169">
        <f>$AO13*'Sam-Pojazdy-WSAD'!O13</f>
        <v>0</v>
      </c>
      <c r="N13" s="170">
        <f>$AO13*'Sam-Pojazdy-WSAD'!P13</f>
        <v>0</v>
      </c>
      <c r="O13" s="171">
        <f>M13*'Wskazniki emisji paliw'!M$29</f>
        <v>0</v>
      </c>
      <c r="P13" s="169">
        <f>$AO13*'Sam-Pojazdy-WSAD'!R13</f>
        <v>0</v>
      </c>
      <c r="Q13" s="170">
        <f>$AO13*'Sam-Pojazdy-WSAD'!S13</f>
        <v>0</v>
      </c>
      <c r="R13" s="171">
        <f>P13*'Wskazniki emisji paliw'!L$21</f>
        <v>0</v>
      </c>
      <c r="S13" s="169">
        <f>$AO13*'Sam-Pojazdy-WSAD'!U13</f>
        <v>0</v>
      </c>
      <c r="T13" s="170">
        <f>$AO13*'Sam-Pojazdy-WSAD'!V13</f>
        <v>0</v>
      </c>
      <c r="U13" s="171">
        <f>S13*'Wskazniki emisji paliw'!L$19*(1-U$6)</f>
        <v>0</v>
      </c>
      <c r="V13" s="169">
        <f>$AO13*'Sam-Pojazdy-WSAD'!X13</f>
        <v>0</v>
      </c>
      <c r="W13" s="170">
        <f>$AO13*'Sam-Pojazdy-WSAD'!Y13</f>
        <v>0</v>
      </c>
      <c r="X13" s="171">
        <f>V13*'Wskazniki emisji paliw'!L$18*(1-X$6)</f>
        <v>0</v>
      </c>
      <c r="Y13" s="169">
        <f>$AO13*'Sam-Pojazdy-WSAD'!AA13</f>
        <v>0</v>
      </c>
      <c r="Z13" s="170">
        <f>$AO13*'Sam-Pojazdy-WSAD'!AB13</f>
        <v>0</v>
      </c>
      <c r="AA13" s="171">
        <f>Y13*(HLOOKUP(Ogolne!$D$6,'Wskazniki emisji elektrycznosc'!$B$8:$G$29,Ogolne!$E$7,TRUE))/1000</f>
        <v>0</v>
      </c>
      <c r="AB13" s="145"/>
      <c r="AC13" s="167" t="str">
        <f t="shared" si="0"/>
        <v>Bydgoski Park Przemysłowy Sp. z o.o.</v>
      </c>
      <c r="AD13" s="167" t="str">
        <f t="shared" si="1"/>
        <v>BPP</v>
      </c>
      <c r="AE13" s="172">
        <f>'Sam-Pojazdy-WSAD'!AG13</f>
        <v>0</v>
      </c>
      <c r="AF13" s="172">
        <f>'Sam-Pojazdy-WSAD'!AH13</f>
        <v>0</v>
      </c>
      <c r="AG13" s="170">
        <f t="shared" si="2"/>
        <v>0</v>
      </c>
      <c r="AH13" s="171">
        <f t="shared" si="3"/>
        <v>0</v>
      </c>
      <c r="AI13" s="173" t="str">
        <f t="shared" si="4"/>
        <v/>
      </c>
      <c r="AJ13" s="174" t="str">
        <f t="shared" si="5"/>
        <v/>
      </c>
      <c r="AK13" s="175" t="str">
        <f t="shared" si="6"/>
        <v/>
      </c>
      <c r="AL13" s="176" t="str">
        <f t="shared" si="7"/>
        <v/>
      </c>
      <c r="AM13" s="177"/>
      <c r="AN13" s="718">
        <f>'Sam-Pojazdy-WSAD'!AP13</f>
        <v>0</v>
      </c>
      <c r="AO13" s="720">
        <v>1</v>
      </c>
      <c r="AP13" s="177"/>
      <c r="AQ13" s="177"/>
      <c r="AR13" s="177"/>
      <c r="AS13" s="177"/>
      <c r="AT13" s="177"/>
      <c r="AU13" s="177"/>
      <c r="AV13" s="177"/>
      <c r="AW13" s="177"/>
      <c r="AX13" s="177"/>
      <c r="AY13" s="177"/>
      <c r="AZ13" s="177"/>
      <c r="BA13" s="177"/>
    </row>
    <row r="14" spans="1:53" s="178" customFormat="1">
      <c r="A14" s="145"/>
      <c r="B14" s="732" t="str">
        <f>'Sam-Pojazdy-WSAD'!B14</f>
        <v>Bydgoskie Towarzystwo Budownictwa Społecznego Sp. z o.o.</v>
      </c>
      <c r="C14" s="733" t="str">
        <f>'Sam-Pojazdy-WSAD'!C14</f>
        <v>BTBS</v>
      </c>
      <c r="D14" s="169">
        <f>$AO14*'Sam-Pojazdy-WSAD'!D14</f>
        <v>0</v>
      </c>
      <c r="E14" s="170">
        <f>$AO14*'Sam-Pojazdy-WSAD'!E14</f>
        <v>0</v>
      </c>
      <c r="F14" s="171">
        <f>D14*'Wskazniki emisji paliw'!L$19</f>
        <v>0</v>
      </c>
      <c r="G14" s="169">
        <f>$AO14*'Sam-Pojazdy-WSAD'!H14</f>
        <v>0</v>
      </c>
      <c r="H14" s="170">
        <f>$AO14*'Sam-Pojazdy-WSAD'!I14</f>
        <v>0</v>
      </c>
      <c r="I14" s="171">
        <f>G14*'Wskazniki emisji paliw'!L$18</f>
        <v>0</v>
      </c>
      <c r="J14" s="169">
        <f>$AO14*'Sam-Pojazdy-WSAD'!L14</f>
        <v>0</v>
      </c>
      <c r="K14" s="170">
        <f>$AO14*'Sam-Pojazdy-WSAD'!M14</f>
        <v>0</v>
      </c>
      <c r="L14" s="171">
        <f>J14*'Wskazniki emisji paliw'!$L$28</f>
        <v>0</v>
      </c>
      <c r="M14" s="169">
        <f>$AO14*'Sam-Pojazdy-WSAD'!O14</f>
        <v>0</v>
      </c>
      <c r="N14" s="170">
        <f>$AO14*'Sam-Pojazdy-WSAD'!P14</f>
        <v>0</v>
      </c>
      <c r="O14" s="171">
        <f>M14*'Wskazniki emisji paliw'!M$29</f>
        <v>0</v>
      </c>
      <c r="P14" s="169">
        <f>$AO14*'Sam-Pojazdy-WSAD'!R14</f>
        <v>0</v>
      </c>
      <c r="Q14" s="170">
        <f>$AO14*'Sam-Pojazdy-WSAD'!S14</f>
        <v>0</v>
      </c>
      <c r="R14" s="171">
        <f>P14*'Wskazniki emisji paliw'!L$21</f>
        <v>0</v>
      </c>
      <c r="S14" s="169">
        <f>$AO14*'Sam-Pojazdy-WSAD'!U14</f>
        <v>0</v>
      </c>
      <c r="T14" s="170">
        <f>$AO14*'Sam-Pojazdy-WSAD'!V14</f>
        <v>0</v>
      </c>
      <c r="U14" s="171">
        <f>S14*'Wskazniki emisji paliw'!L$19*(1-U$6)</f>
        <v>0</v>
      </c>
      <c r="V14" s="169">
        <f>$AO14*'Sam-Pojazdy-WSAD'!X14</f>
        <v>0</v>
      </c>
      <c r="W14" s="170">
        <f>$AO14*'Sam-Pojazdy-WSAD'!Y14</f>
        <v>0</v>
      </c>
      <c r="X14" s="171">
        <f>V14*'Wskazniki emisji paliw'!L$18*(1-X$6)</f>
        <v>0</v>
      </c>
      <c r="Y14" s="169">
        <f>$AO14*'Sam-Pojazdy-WSAD'!AA14</f>
        <v>0</v>
      </c>
      <c r="Z14" s="170">
        <f>$AO14*'Sam-Pojazdy-WSAD'!AB14</f>
        <v>0</v>
      </c>
      <c r="AA14" s="171">
        <f>Y14*(HLOOKUP(Ogolne!$D$6,'Wskazniki emisji elektrycznosc'!$B$8:$G$29,Ogolne!$E$7,TRUE))/1000</f>
        <v>0</v>
      </c>
      <c r="AB14" s="145"/>
      <c r="AC14" s="167" t="str">
        <f t="shared" si="0"/>
        <v>Bydgoskie Towarzystwo Budownictwa Społecznego Sp. z o.o.</v>
      </c>
      <c r="AD14" s="167" t="str">
        <f t="shared" si="1"/>
        <v>BTBS</v>
      </c>
      <c r="AE14" s="172">
        <f>'Sam-Pojazdy-WSAD'!AG14</f>
        <v>0</v>
      </c>
      <c r="AF14" s="172">
        <f>'Sam-Pojazdy-WSAD'!AH14</f>
        <v>0</v>
      </c>
      <c r="AG14" s="170">
        <f t="shared" si="2"/>
        <v>0</v>
      </c>
      <c r="AH14" s="171">
        <f t="shared" si="3"/>
        <v>0</v>
      </c>
      <c r="AI14" s="173" t="str">
        <f t="shared" si="4"/>
        <v/>
      </c>
      <c r="AJ14" s="174" t="str">
        <f t="shared" si="5"/>
        <v/>
      </c>
      <c r="AK14" s="175" t="str">
        <f t="shared" si="6"/>
        <v/>
      </c>
      <c r="AL14" s="176" t="str">
        <f t="shared" si="7"/>
        <v/>
      </c>
      <c r="AM14" s="177"/>
      <c r="AN14" s="718">
        <f>'Sam-Pojazdy-WSAD'!AP14</f>
        <v>0</v>
      </c>
      <c r="AO14" s="720">
        <v>0.153</v>
      </c>
      <c r="AP14" s="177"/>
      <c r="AQ14" s="177"/>
      <c r="AR14" s="177"/>
      <c r="AS14" s="177"/>
      <c r="AT14" s="177"/>
      <c r="AU14" s="177"/>
      <c r="AV14" s="177"/>
      <c r="AW14" s="177"/>
      <c r="AX14" s="177"/>
      <c r="AY14" s="177"/>
      <c r="AZ14" s="177"/>
      <c r="BA14" s="177"/>
    </row>
    <row r="15" spans="1:53" s="178" customFormat="1">
      <c r="A15" s="145"/>
      <c r="B15" s="713" t="str">
        <f>'Sam-Pojazdy-WSAD'!B15</f>
        <v>Galeria Miejska BWA</v>
      </c>
      <c r="C15" s="726" t="str">
        <f>'Sam-Pojazdy-WSAD'!C15</f>
        <v>GMBWA</v>
      </c>
      <c r="D15" s="169">
        <f>$AO15*'Sam-Pojazdy-WSAD'!D15</f>
        <v>0</v>
      </c>
      <c r="E15" s="170">
        <f>$AO15*'Sam-Pojazdy-WSAD'!E15</f>
        <v>0</v>
      </c>
      <c r="F15" s="171">
        <f>D15*'Wskazniki emisji paliw'!L$19</f>
        <v>0</v>
      </c>
      <c r="G15" s="169">
        <f>$AO15*'Sam-Pojazdy-WSAD'!H15</f>
        <v>4953.24</v>
      </c>
      <c r="H15" s="170">
        <f>$AO15*'Sam-Pojazdy-WSAD'!I15</f>
        <v>19265.46</v>
      </c>
      <c r="I15" s="171">
        <f>G15*'Wskazniki emisji paliw'!L$18</f>
        <v>13.260936194655907</v>
      </c>
      <c r="J15" s="169">
        <f>$AO15*'Sam-Pojazdy-WSAD'!L15</f>
        <v>0</v>
      </c>
      <c r="K15" s="170">
        <f>$AO15*'Sam-Pojazdy-WSAD'!M15</f>
        <v>0</v>
      </c>
      <c r="L15" s="171">
        <f>J15*'Wskazniki emisji paliw'!$L$28</f>
        <v>0</v>
      </c>
      <c r="M15" s="169">
        <f>$AO15*'Sam-Pojazdy-WSAD'!O15</f>
        <v>0</v>
      </c>
      <c r="N15" s="170">
        <f>$AO15*'Sam-Pojazdy-WSAD'!P15</f>
        <v>0</v>
      </c>
      <c r="O15" s="171">
        <f>M15*'Wskazniki emisji paliw'!M$29</f>
        <v>0</v>
      </c>
      <c r="P15" s="169">
        <f>$AO15*'Sam-Pojazdy-WSAD'!R15</f>
        <v>0</v>
      </c>
      <c r="Q15" s="170">
        <f>$AO15*'Sam-Pojazdy-WSAD'!S15</f>
        <v>0</v>
      </c>
      <c r="R15" s="171">
        <f>P15*'Wskazniki emisji paliw'!L$21</f>
        <v>0</v>
      </c>
      <c r="S15" s="169">
        <f>$AO15*'Sam-Pojazdy-WSAD'!U15</f>
        <v>0</v>
      </c>
      <c r="T15" s="170">
        <f>$AO15*'Sam-Pojazdy-WSAD'!V15</f>
        <v>0</v>
      </c>
      <c r="U15" s="171">
        <f>S15*'Wskazniki emisji paliw'!L$19*(1-U$6)</f>
        <v>0</v>
      </c>
      <c r="V15" s="169">
        <f>$AO15*'Sam-Pojazdy-WSAD'!X15</f>
        <v>0</v>
      </c>
      <c r="W15" s="170">
        <f>$AO15*'Sam-Pojazdy-WSAD'!Y15</f>
        <v>0</v>
      </c>
      <c r="X15" s="171">
        <f>V15*'Wskazniki emisji paliw'!L$18*(1-X$6)</f>
        <v>0</v>
      </c>
      <c r="Y15" s="169">
        <f>$AO15*'Sam-Pojazdy-WSAD'!AA15</f>
        <v>0</v>
      </c>
      <c r="Z15" s="170">
        <f>$AO15*'Sam-Pojazdy-WSAD'!AB15</f>
        <v>0</v>
      </c>
      <c r="AA15" s="171">
        <f>Y15*(HLOOKUP(Ogolne!$D$6,'Wskazniki emisji elektrycznosc'!$B$8:$G$29,Ogolne!$E$7,TRUE))/1000</f>
        <v>0</v>
      </c>
      <c r="AB15" s="145"/>
      <c r="AC15" s="167" t="str">
        <f t="shared" si="0"/>
        <v>Galeria Miejska BWA</v>
      </c>
      <c r="AD15" s="167" t="str">
        <f t="shared" si="1"/>
        <v>GMBWA</v>
      </c>
      <c r="AE15" s="172">
        <f>'Sam-Pojazdy-WSAD'!AG15</f>
        <v>2</v>
      </c>
      <c r="AF15" s="172">
        <f>'Sam-Pojazdy-WSAD'!AH15</f>
        <v>0</v>
      </c>
      <c r="AG15" s="170">
        <f t="shared" si="2"/>
        <v>19265.46</v>
      </c>
      <c r="AH15" s="171">
        <f t="shared" si="3"/>
        <v>13.260936194655907</v>
      </c>
      <c r="AI15" s="173" t="str">
        <f t="shared" si="4"/>
        <v/>
      </c>
      <c r="AJ15" s="174">
        <f t="shared" si="5"/>
        <v>9632.73</v>
      </c>
      <c r="AK15" s="175" t="str">
        <f t="shared" si="6"/>
        <v/>
      </c>
      <c r="AL15" s="176">
        <f t="shared" si="7"/>
        <v>6.6304680973279533</v>
      </c>
      <c r="AM15" s="177"/>
      <c r="AN15" s="718">
        <f>'Sam-Pojazdy-WSAD'!AP15</f>
        <v>0</v>
      </c>
      <c r="AO15" s="720">
        <v>1</v>
      </c>
      <c r="AP15" s="177"/>
      <c r="AQ15" s="177"/>
      <c r="AR15" s="177"/>
      <c r="AS15" s="177"/>
      <c r="AT15" s="177"/>
      <c r="AU15" s="177"/>
      <c r="AV15" s="177"/>
      <c r="AW15" s="177"/>
      <c r="AX15" s="177"/>
      <c r="AY15" s="177"/>
      <c r="AZ15" s="177"/>
      <c r="BA15" s="177"/>
    </row>
    <row r="16" spans="1:53" s="178" customFormat="1">
      <c r="A16" s="145"/>
      <c r="B16" s="713" t="str">
        <f>'Sam-Pojazdy-WSAD'!B16</f>
        <v>Hala Sportowo-WKodowiskowa Łuczniczka</v>
      </c>
      <c r="C16" s="726" t="str">
        <f>'Sam-Pojazdy-WSAD'!C16</f>
        <v>HSW</v>
      </c>
      <c r="D16" s="169">
        <f>$AO16*'Sam-Pojazdy-WSAD'!D16</f>
        <v>0</v>
      </c>
      <c r="E16" s="170">
        <f>$AO16*'Sam-Pojazdy-WSAD'!E16</f>
        <v>0</v>
      </c>
      <c r="F16" s="171">
        <f>D16*'Wskazniki emisji paliw'!L$19</f>
        <v>0</v>
      </c>
      <c r="G16" s="169">
        <f>$AO16*'Sam-Pojazdy-WSAD'!H16</f>
        <v>0</v>
      </c>
      <c r="H16" s="170">
        <f>$AO16*'Sam-Pojazdy-WSAD'!I16</f>
        <v>0</v>
      </c>
      <c r="I16" s="171">
        <f>G16*'Wskazniki emisji paliw'!L$18</f>
        <v>0</v>
      </c>
      <c r="J16" s="169">
        <f>$AO16*'Sam-Pojazdy-WSAD'!L16</f>
        <v>0</v>
      </c>
      <c r="K16" s="170">
        <f>$AO16*'Sam-Pojazdy-WSAD'!M16</f>
        <v>0</v>
      </c>
      <c r="L16" s="171">
        <f>J16*'Wskazniki emisji paliw'!$L$28</f>
        <v>0</v>
      </c>
      <c r="M16" s="169">
        <f>$AO16*'Sam-Pojazdy-WSAD'!O16</f>
        <v>0</v>
      </c>
      <c r="N16" s="170">
        <f>$AO16*'Sam-Pojazdy-WSAD'!P16</f>
        <v>0</v>
      </c>
      <c r="O16" s="171">
        <f>M16*'Wskazniki emisji paliw'!M$29</f>
        <v>0</v>
      </c>
      <c r="P16" s="169">
        <f>$AO16*'Sam-Pojazdy-WSAD'!R16</f>
        <v>0</v>
      </c>
      <c r="Q16" s="170">
        <f>$AO16*'Sam-Pojazdy-WSAD'!S16</f>
        <v>0</v>
      </c>
      <c r="R16" s="171">
        <f>P16*'Wskazniki emisji paliw'!L$21</f>
        <v>0</v>
      </c>
      <c r="S16" s="169">
        <f>$AO16*'Sam-Pojazdy-WSAD'!U16</f>
        <v>0</v>
      </c>
      <c r="T16" s="170">
        <f>$AO16*'Sam-Pojazdy-WSAD'!V16</f>
        <v>0</v>
      </c>
      <c r="U16" s="171">
        <f>S16*'Wskazniki emisji paliw'!L$19*(1-U$6)</f>
        <v>0</v>
      </c>
      <c r="V16" s="169">
        <f>$AO16*'Sam-Pojazdy-WSAD'!X16</f>
        <v>0</v>
      </c>
      <c r="W16" s="170">
        <f>$AO16*'Sam-Pojazdy-WSAD'!Y16</f>
        <v>0</v>
      </c>
      <c r="X16" s="171">
        <f>V16*'Wskazniki emisji paliw'!L$18*(1-X$6)</f>
        <v>0</v>
      </c>
      <c r="Y16" s="169">
        <f>$AO16*'Sam-Pojazdy-WSAD'!AA16</f>
        <v>0</v>
      </c>
      <c r="Z16" s="170">
        <f>$AO16*'Sam-Pojazdy-WSAD'!AB16</f>
        <v>0</v>
      </c>
      <c r="AA16" s="171">
        <f>Y16*(HLOOKUP(Ogolne!$D$6,'Wskazniki emisji elektrycznosc'!$B$8:$G$29,Ogolne!$E$7,TRUE))/1000</f>
        <v>0</v>
      </c>
      <c r="AB16" s="145"/>
      <c r="AC16" s="167" t="str">
        <f t="shared" si="0"/>
        <v>Hala Sportowo-WKodowiskowa Łuczniczka</v>
      </c>
      <c r="AD16" s="167" t="str">
        <f t="shared" si="1"/>
        <v>HSW</v>
      </c>
      <c r="AE16" s="172">
        <f>'Sam-Pojazdy-WSAD'!AG16</f>
        <v>2</v>
      </c>
      <c r="AF16" s="172">
        <f>'Sam-Pojazdy-WSAD'!AH16</f>
        <v>45662</v>
      </c>
      <c r="AG16" s="170">
        <f t="shared" si="2"/>
        <v>0</v>
      </c>
      <c r="AH16" s="171">
        <f t="shared" si="3"/>
        <v>0</v>
      </c>
      <c r="AI16" s="173">
        <f t="shared" si="4"/>
        <v>0</v>
      </c>
      <c r="AJ16" s="174">
        <f t="shared" si="5"/>
        <v>0</v>
      </c>
      <c r="AK16" s="175">
        <f t="shared" si="6"/>
        <v>0</v>
      </c>
      <c r="AL16" s="176">
        <f t="shared" si="7"/>
        <v>0</v>
      </c>
      <c r="AM16" s="177"/>
      <c r="AN16" s="718">
        <f>'Sam-Pojazdy-WSAD'!AP16</f>
        <v>0</v>
      </c>
      <c r="AO16" s="720">
        <v>1</v>
      </c>
      <c r="AP16" s="177"/>
      <c r="AQ16" s="177"/>
      <c r="AR16" s="177"/>
      <c r="AS16" s="177"/>
      <c r="AT16" s="177"/>
      <c r="AU16" s="177"/>
      <c r="AV16" s="177"/>
      <c r="AW16" s="177"/>
      <c r="AX16" s="177"/>
      <c r="AY16" s="177"/>
      <c r="AZ16" s="177"/>
      <c r="BA16" s="177"/>
    </row>
    <row r="17" spans="1:53" s="178" customFormat="1">
      <c r="A17" s="145"/>
      <c r="B17" s="713" t="str">
        <f>'Sam-Pojazdy-WSAD'!B17</f>
        <v xml:space="preserve">Izba Wytrzeźwień w Bydgoszczy </v>
      </c>
      <c r="C17" s="726" t="str">
        <f>'Sam-Pojazdy-WSAD'!C17</f>
        <v>IW</v>
      </c>
      <c r="D17" s="169">
        <f>$AO17*'Sam-Pojazdy-WSAD'!D17</f>
        <v>136.82</v>
      </c>
      <c r="E17" s="170">
        <f>$AO17*'Sam-Pojazdy-WSAD'!E17</f>
        <v>359.98</v>
      </c>
      <c r="F17" s="171">
        <f>D17*'Wskazniki emisji paliw'!L$19</f>
        <v>0.32817688982400001</v>
      </c>
      <c r="G17" s="169">
        <f>$AO17*'Sam-Pojazdy-WSAD'!H17</f>
        <v>0</v>
      </c>
      <c r="H17" s="170">
        <f>$AO17*'Sam-Pojazdy-WSAD'!I17</f>
        <v>0</v>
      </c>
      <c r="I17" s="171">
        <f>G17*'Wskazniki emisji paliw'!L$18</f>
        <v>0</v>
      </c>
      <c r="J17" s="169">
        <f>$AO17*'Sam-Pojazdy-WSAD'!L17</f>
        <v>0</v>
      </c>
      <c r="K17" s="170">
        <f>$AO17*'Sam-Pojazdy-WSAD'!M17</f>
        <v>0</v>
      </c>
      <c r="L17" s="171">
        <f>J17*'Wskazniki emisji paliw'!$L$28</f>
        <v>0</v>
      </c>
      <c r="M17" s="169">
        <f>$AO17*'Sam-Pojazdy-WSAD'!O17</f>
        <v>0</v>
      </c>
      <c r="N17" s="170">
        <f>$AO17*'Sam-Pojazdy-WSAD'!P17</f>
        <v>0</v>
      </c>
      <c r="O17" s="171">
        <f>M17*'Wskazniki emisji paliw'!M$29</f>
        <v>0</v>
      </c>
      <c r="P17" s="169">
        <f>$AO17*'Sam-Pojazdy-WSAD'!R17</f>
        <v>0</v>
      </c>
      <c r="Q17" s="170">
        <f>$AO17*'Sam-Pojazdy-WSAD'!S17</f>
        <v>0</v>
      </c>
      <c r="R17" s="171">
        <f>P17*'Wskazniki emisji paliw'!L$21</f>
        <v>0</v>
      </c>
      <c r="S17" s="169">
        <f>$AO17*'Sam-Pojazdy-WSAD'!U17</f>
        <v>0</v>
      </c>
      <c r="T17" s="170">
        <f>$AO17*'Sam-Pojazdy-WSAD'!V17</f>
        <v>0</v>
      </c>
      <c r="U17" s="171">
        <f>S17*'Wskazniki emisji paliw'!L$19*(1-U$6)</f>
        <v>0</v>
      </c>
      <c r="V17" s="169">
        <f>$AO17*'Sam-Pojazdy-WSAD'!X17</f>
        <v>0</v>
      </c>
      <c r="W17" s="170">
        <f>$AO17*'Sam-Pojazdy-WSAD'!Y17</f>
        <v>0</v>
      </c>
      <c r="X17" s="171">
        <f>V17*'Wskazniki emisji paliw'!L$18*(1-X$6)</f>
        <v>0</v>
      </c>
      <c r="Y17" s="169">
        <f>$AO17*'Sam-Pojazdy-WSAD'!AA17</f>
        <v>0</v>
      </c>
      <c r="Z17" s="170">
        <f>$AO17*'Sam-Pojazdy-WSAD'!AB17</f>
        <v>0</v>
      </c>
      <c r="AA17" s="171">
        <f>Y17*(HLOOKUP(Ogolne!$D$6,'Wskazniki emisji elektrycznosc'!$B$8:$G$29,Ogolne!$E$7,TRUE))/1000</f>
        <v>0</v>
      </c>
      <c r="AB17" s="145"/>
      <c r="AC17" s="167" t="str">
        <f t="shared" si="0"/>
        <v xml:space="preserve">Izba Wytrzeźwień w Bydgoszczy </v>
      </c>
      <c r="AD17" s="167" t="str">
        <f t="shared" si="1"/>
        <v>IW</v>
      </c>
      <c r="AE17" s="172">
        <f>'Sam-Pojazdy-WSAD'!AG17</f>
        <v>0</v>
      </c>
      <c r="AF17" s="172">
        <f>'Sam-Pojazdy-WSAD'!AH17</f>
        <v>0</v>
      </c>
      <c r="AG17" s="170">
        <f t="shared" si="2"/>
        <v>359.98</v>
      </c>
      <c r="AH17" s="171">
        <f t="shared" si="3"/>
        <v>0.32817688982400001</v>
      </c>
      <c r="AI17" s="173" t="str">
        <f t="shared" si="4"/>
        <v/>
      </c>
      <c r="AJ17" s="174" t="str">
        <f t="shared" si="5"/>
        <v/>
      </c>
      <c r="AK17" s="175" t="str">
        <f t="shared" si="6"/>
        <v/>
      </c>
      <c r="AL17" s="176" t="str">
        <f t="shared" si="7"/>
        <v/>
      </c>
      <c r="AM17" s="177"/>
      <c r="AN17" s="718">
        <f>'Sam-Pojazdy-WSAD'!AP17</f>
        <v>0</v>
      </c>
      <c r="AO17" s="720">
        <v>1</v>
      </c>
      <c r="AP17" s="177"/>
      <c r="AQ17" s="177"/>
      <c r="AR17" s="177"/>
      <c r="AS17" s="177"/>
      <c r="AT17" s="177"/>
      <c r="AU17" s="177"/>
      <c r="AV17" s="177"/>
      <c r="AW17" s="177"/>
      <c r="AX17" s="177"/>
      <c r="AY17" s="177"/>
      <c r="AZ17" s="177"/>
      <c r="BA17" s="177"/>
    </row>
    <row r="18" spans="1:53" s="178" customFormat="1">
      <c r="A18" s="145"/>
      <c r="B18" s="732" t="str">
        <f>'Sam-Pojazdy-WSAD'!B18</f>
        <v>Komunalne Przedsiębiorstwo Energetyki Cieplnej Sp. z o.o.</v>
      </c>
      <c r="C18" s="733" t="str">
        <f>'Sam-Pojazdy-WSAD'!C18</f>
        <v>KPEC</v>
      </c>
      <c r="D18" s="169">
        <f>$AO18*'Sam-Pojazdy-WSAD'!D18</f>
        <v>5773.7319640000005</v>
      </c>
      <c r="E18" s="170">
        <f>$AO18*'Sam-Pojazdy-WSAD'!E18</f>
        <v>23960.987650599996</v>
      </c>
      <c r="F18" s="171">
        <f>D18*'Wskazniki emisji paliw'!L$19</f>
        <v>13.848891964792687</v>
      </c>
      <c r="G18" s="169">
        <f>$AO18*'Sam-Pojazdy-WSAD'!H18</f>
        <v>20667.398752000001</v>
      </c>
      <c r="H18" s="170">
        <f>$AO18*'Sam-Pojazdy-WSAD'!I18</f>
        <v>78949.463232640002</v>
      </c>
      <c r="I18" s="171">
        <f>G18*'Wskazniki emisji paliw'!L$18</f>
        <v>55.331269262095752</v>
      </c>
      <c r="J18" s="169">
        <f>$AO18*'Sam-Pojazdy-WSAD'!L18</f>
        <v>0</v>
      </c>
      <c r="K18" s="170">
        <f>$AO18*'Sam-Pojazdy-WSAD'!M18</f>
        <v>0</v>
      </c>
      <c r="L18" s="171">
        <f>J18*'Wskazniki emisji paliw'!$L$28</f>
        <v>0</v>
      </c>
      <c r="M18" s="169">
        <f>$AO18*'Sam-Pojazdy-WSAD'!O18</f>
        <v>0</v>
      </c>
      <c r="N18" s="170">
        <f>$AO18*'Sam-Pojazdy-WSAD'!P18</f>
        <v>0</v>
      </c>
      <c r="O18" s="171">
        <f>M18*'Wskazniki emisji paliw'!M$29</f>
        <v>0</v>
      </c>
      <c r="P18" s="169">
        <f>$AO18*'Sam-Pojazdy-WSAD'!R18</f>
        <v>0</v>
      </c>
      <c r="Q18" s="170">
        <f>$AO18*'Sam-Pojazdy-WSAD'!S18</f>
        <v>0</v>
      </c>
      <c r="R18" s="171">
        <f>P18*'Wskazniki emisji paliw'!L$21</f>
        <v>0</v>
      </c>
      <c r="S18" s="169">
        <f>$AO18*'Sam-Pojazdy-WSAD'!U18</f>
        <v>0</v>
      </c>
      <c r="T18" s="170">
        <f>$AO18*'Sam-Pojazdy-WSAD'!V18</f>
        <v>0</v>
      </c>
      <c r="U18" s="171">
        <f>S18*'Wskazniki emisji paliw'!L$19*(1-U$6)</f>
        <v>0</v>
      </c>
      <c r="V18" s="169">
        <f>$AO18*'Sam-Pojazdy-WSAD'!X18</f>
        <v>0</v>
      </c>
      <c r="W18" s="170">
        <f>$AO18*'Sam-Pojazdy-WSAD'!Y18</f>
        <v>0</v>
      </c>
      <c r="X18" s="171">
        <f>V18*'Wskazniki emisji paliw'!L$18*(1-X$6)</f>
        <v>0</v>
      </c>
      <c r="Y18" s="169">
        <f>$AO18*'Sam-Pojazdy-WSAD'!AA18</f>
        <v>0</v>
      </c>
      <c r="Z18" s="170">
        <f>$AO18*'Sam-Pojazdy-WSAD'!AB18</f>
        <v>0</v>
      </c>
      <c r="AA18" s="171">
        <f>Y18*(HLOOKUP(Ogolne!$D$6,'Wskazniki emisji elektrycznosc'!$B$8:$G$29,Ogolne!$E$7,TRUE))/1000</f>
        <v>0</v>
      </c>
      <c r="AB18" s="145"/>
      <c r="AC18" s="167" t="str">
        <f t="shared" si="0"/>
        <v>Komunalne Przedsiębiorstwo Energetyki Cieplnej Sp. z o.o.</v>
      </c>
      <c r="AD18" s="167" t="str">
        <f t="shared" si="1"/>
        <v>KPEC</v>
      </c>
      <c r="AE18" s="172">
        <f>'Sam-Pojazdy-WSAD'!AG18</f>
        <v>35</v>
      </c>
      <c r="AF18" s="172">
        <f>'Sam-Pojazdy-WSAD'!AH18</f>
        <v>365778</v>
      </c>
      <c r="AG18" s="170">
        <f t="shared" si="2"/>
        <v>102910.45088324</v>
      </c>
      <c r="AH18" s="171">
        <f t="shared" si="3"/>
        <v>69.180161226888444</v>
      </c>
      <c r="AI18" s="173">
        <f t="shared" si="4"/>
        <v>0.28134674825506184</v>
      </c>
      <c r="AJ18" s="174">
        <f t="shared" si="5"/>
        <v>2940.2985966639999</v>
      </c>
      <c r="AK18" s="175">
        <f t="shared" si="6"/>
        <v>1.8913155309200784E-4</v>
      </c>
      <c r="AL18" s="176">
        <f t="shared" si="7"/>
        <v>1.9765760350539556</v>
      </c>
      <c r="AM18" s="177"/>
      <c r="AN18" s="718">
        <f>'Sam-Pojazdy-WSAD'!AP18</f>
        <v>0</v>
      </c>
      <c r="AO18" s="720">
        <v>0.40039999999999998</v>
      </c>
      <c r="AP18" s="177"/>
      <c r="AQ18" s="177"/>
      <c r="AR18" s="177"/>
      <c r="AS18" s="177"/>
      <c r="AT18" s="177"/>
      <c r="AU18" s="177"/>
      <c r="AV18" s="177"/>
      <c r="AW18" s="177"/>
      <c r="AX18" s="177"/>
      <c r="AY18" s="177"/>
      <c r="AZ18" s="177"/>
      <c r="BA18" s="177"/>
    </row>
    <row r="19" spans="1:53" s="178" customFormat="1">
      <c r="A19" s="145"/>
      <c r="B19" s="732" t="str">
        <f>'Sam-Pojazdy-WSAD'!B19</f>
        <v>Komunalne Przedsiębiorstwo Energetyki Cieplnej Sp. z o.o. - inne</v>
      </c>
      <c r="C19" s="733" t="str">
        <f>'Sam-Pojazdy-WSAD'!C19</f>
        <v>KPEC</v>
      </c>
      <c r="D19" s="169">
        <f>$AO19*'Sam-Pojazdy-WSAD'!D19</f>
        <v>0</v>
      </c>
      <c r="E19" s="170">
        <f>$AO19*'Sam-Pojazdy-WSAD'!E19</f>
        <v>0</v>
      </c>
      <c r="F19" s="171">
        <f>D19*'Wskazniki emisji paliw'!L$19</f>
        <v>0</v>
      </c>
      <c r="G19" s="169">
        <f>$AO19*'Sam-Pojazdy-WSAD'!H19</f>
        <v>24496.071599999999</v>
      </c>
      <c r="H19" s="170">
        <f>$AO19*'Sam-Pojazdy-WSAD'!I19</f>
        <v>93574.993511999972</v>
      </c>
      <c r="I19" s="171">
        <f>G19*'Wskazniki emisji paliw'!L$18</f>
        <v>65.581486563809278</v>
      </c>
      <c r="J19" s="169">
        <f>$AO19*'Sam-Pojazdy-WSAD'!L19</f>
        <v>0</v>
      </c>
      <c r="K19" s="170">
        <f>$AO19*'Sam-Pojazdy-WSAD'!M19</f>
        <v>0</v>
      </c>
      <c r="L19" s="171">
        <f>J19*'Wskazniki emisji paliw'!$L$28</f>
        <v>0</v>
      </c>
      <c r="M19" s="169">
        <f>$AO19*'Sam-Pojazdy-WSAD'!O19</f>
        <v>0</v>
      </c>
      <c r="N19" s="170">
        <f>$AO19*'Sam-Pojazdy-WSAD'!P19</f>
        <v>0</v>
      </c>
      <c r="O19" s="171">
        <f>M19*'Wskazniki emisji paliw'!M$29</f>
        <v>0</v>
      </c>
      <c r="P19" s="169">
        <f>$AO19*'Sam-Pojazdy-WSAD'!R19</f>
        <v>0</v>
      </c>
      <c r="Q19" s="170">
        <f>$AO19*'Sam-Pojazdy-WSAD'!S19</f>
        <v>0</v>
      </c>
      <c r="R19" s="171">
        <f>P19*'Wskazniki emisji paliw'!L$21</f>
        <v>0</v>
      </c>
      <c r="S19" s="169">
        <f>$AO19*'Sam-Pojazdy-WSAD'!U19</f>
        <v>0</v>
      </c>
      <c r="T19" s="170">
        <f>$AO19*'Sam-Pojazdy-WSAD'!V19</f>
        <v>0</v>
      </c>
      <c r="U19" s="171">
        <f>S19*'Wskazniki emisji paliw'!L$19*(1-U$6)</f>
        <v>0</v>
      </c>
      <c r="V19" s="169">
        <f>$AO19*'Sam-Pojazdy-WSAD'!X19</f>
        <v>0</v>
      </c>
      <c r="W19" s="170">
        <f>$AO19*'Sam-Pojazdy-WSAD'!Y19</f>
        <v>0</v>
      </c>
      <c r="X19" s="171">
        <f>V19*'Wskazniki emisji paliw'!L$18*(1-X$6)</f>
        <v>0</v>
      </c>
      <c r="Y19" s="169">
        <f>$AO19*'Sam-Pojazdy-WSAD'!AA19</f>
        <v>27611.583999999999</v>
      </c>
      <c r="Z19" s="170">
        <f>$AO19*'Sam-Pojazdy-WSAD'!AB19</f>
        <v>28439.931519999995</v>
      </c>
      <c r="AA19" s="171">
        <f>Y19*(HLOOKUP(Ogolne!$D$6,'Wskazniki emisji elektrycznosc'!$B$8:$G$29,Ogolne!$E$7,TRUE))/1000</f>
        <v>27.114575488</v>
      </c>
      <c r="AB19" s="145"/>
      <c r="AC19" s="167" t="str">
        <f t="shared" si="0"/>
        <v>Komunalne Przedsiębiorstwo Energetyki Cieplnej Sp. z o.o. - inne</v>
      </c>
      <c r="AD19" s="167" t="str">
        <f t="shared" si="1"/>
        <v>KPEC</v>
      </c>
      <c r="AE19" s="172">
        <f>'Sam-Pojazdy-WSAD'!AG19</f>
        <v>15</v>
      </c>
      <c r="AF19" s="172">
        <f>'Sam-Pojazdy-WSAD'!AH19</f>
        <v>0</v>
      </c>
      <c r="AG19" s="170">
        <f t="shared" si="2"/>
        <v>122014.92503199997</v>
      </c>
      <c r="AH19" s="171">
        <f t="shared" si="3"/>
        <v>92.696062051809278</v>
      </c>
      <c r="AI19" s="173" t="str">
        <f t="shared" si="4"/>
        <v/>
      </c>
      <c r="AJ19" s="174">
        <f t="shared" si="5"/>
        <v>8134.3283354666646</v>
      </c>
      <c r="AK19" s="175" t="str">
        <f t="shared" si="6"/>
        <v/>
      </c>
      <c r="AL19" s="176">
        <f t="shared" si="7"/>
        <v>6.1797374701206182</v>
      </c>
      <c r="AM19" s="177"/>
      <c r="AN19" s="718">
        <f>'Sam-Pojazdy-WSAD'!AP19</f>
        <v>0</v>
      </c>
      <c r="AO19" s="720">
        <v>0.40039999999999998</v>
      </c>
      <c r="AP19" s="177"/>
      <c r="AQ19" s="177"/>
      <c r="AR19" s="177"/>
      <c r="AS19" s="177"/>
      <c r="AT19" s="177"/>
      <c r="AU19" s="177"/>
      <c r="AV19" s="177"/>
      <c r="AW19" s="177"/>
      <c r="AX19" s="177"/>
      <c r="AY19" s="177"/>
      <c r="AZ19" s="177"/>
      <c r="BA19" s="177"/>
    </row>
    <row r="20" spans="1:53" s="178" customFormat="1" ht="22.5">
      <c r="A20" s="145"/>
      <c r="B20" s="713" t="str">
        <f>'Sam-Pojazdy-WSAD'!B20</f>
        <v>Leśny Park Kultury i Wypoczynku „Myślęcinek” Sp. z o.o.</v>
      </c>
      <c r="C20" s="726" t="str">
        <f>'Sam-Pojazdy-WSAD'!C20</f>
        <v>LPKIW</v>
      </c>
      <c r="D20" s="169">
        <f>$AO20*'Sam-Pojazdy-WSAD'!D20</f>
        <v>2700</v>
      </c>
      <c r="E20" s="170">
        <f>$AO20*'Sam-Pojazdy-WSAD'!E20</f>
        <v>10152</v>
      </c>
      <c r="F20" s="171">
        <f>D20*'Wskazniki emisji paliw'!L$19</f>
        <v>6.4762286400000004</v>
      </c>
      <c r="G20" s="169">
        <f>$AO20*'Sam-Pojazdy-WSAD'!H20</f>
        <v>20000</v>
      </c>
      <c r="H20" s="170">
        <f>$AO20*'Sam-Pojazdy-WSAD'!I20</f>
        <v>76600</v>
      </c>
      <c r="I20" s="171">
        <f>G20*'Wskazniki emisji paliw'!L$18</f>
        <v>53.544492875999985</v>
      </c>
      <c r="J20" s="169">
        <f>$AO20*'Sam-Pojazdy-WSAD'!L20</f>
        <v>0</v>
      </c>
      <c r="K20" s="170">
        <f>$AO20*'Sam-Pojazdy-WSAD'!M20</f>
        <v>0</v>
      </c>
      <c r="L20" s="171">
        <f>J20*'Wskazniki emisji paliw'!$L$28</f>
        <v>0</v>
      </c>
      <c r="M20" s="169">
        <f>$AO20*'Sam-Pojazdy-WSAD'!O20</f>
        <v>0</v>
      </c>
      <c r="N20" s="170">
        <f>$AO20*'Sam-Pojazdy-WSAD'!P20</f>
        <v>0</v>
      </c>
      <c r="O20" s="171">
        <f>M20*'Wskazniki emisji paliw'!M$29</f>
        <v>0</v>
      </c>
      <c r="P20" s="169">
        <f>$AO20*'Sam-Pojazdy-WSAD'!R20</f>
        <v>0</v>
      </c>
      <c r="Q20" s="170">
        <f>$AO20*'Sam-Pojazdy-WSAD'!S20</f>
        <v>0</v>
      </c>
      <c r="R20" s="171">
        <f>P20*'Wskazniki emisji paliw'!L$21</f>
        <v>0</v>
      </c>
      <c r="S20" s="169">
        <f>$AO20*'Sam-Pojazdy-WSAD'!U20</f>
        <v>0</v>
      </c>
      <c r="T20" s="170">
        <f>$AO20*'Sam-Pojazdy-WSAD'!V20</f>
        <v>0</v>
      </c>
      <c r="U20" s="171">
        <f>S20*'Wskazniki emisji paliw'!L$19*(1-U$6)</f>
        <v>0</v>
      </c>
      <c r="V20" s="169">
        <f>$AO20*'Sam-Pojazdy-WSAD'!X20</f>
        <v>0</v>
      </c>
      <c r="W20" s="170">
        <f>$AO20*'Sam-Pojazdy-WSAD'!Y20</f>
        <v>0</v>
      </c>
      <c r="X20" s="171">
        <f>V20*'Wskazniki emisji paliw'!L$18*(1-X$6)</f>
        <v>0</v>
      </c>
      <c r="Y20" s="169">
        <f>$AO20*'Sam-Pojazdy-WSAD'!AA20</f>
        <v>0</v>
      </c>
      <c r="Z20" s="170">
        <f>$AO20*'Sam-Pojazdy-WSAD'!AB20</f>
        <v>0</v>
      </c>
      <c r="AA20" s="171">
        <f>Y20*(HLOOKUP(Ogolne!$D$6,'Wskazniki emisji elektrycznosc'!$B$8:$G$29,Ogolne!$E$7,TRUE))/1000</f>
        <v>0</v>
      </c>
      <c r="AB20" s="145"/>
      <c r="AC20" s="167" t="str">
        <f t="shared" si="0"/>
        <v>Leśny Park Kultury i Wypoczynku „Myślęcinek” Sp. z o.o.</v>
      </c>
      <c r="AD20" s="167" t="str">
        <f t="shared" si="1"/>
        <v>LPKIW</v>
      </c>
      <c r="AE20" s="172">
        <f>'Sam-Pojazdy-WSAD'!AG20</f>
        <v>0</v>
      </c>
      <c r="AF20" s="172">
        <f>'Sam-Pojazdy-WSAD'!AH20</f>
        <v>0</v>
      </c>
      <c r="AG20" s="170">
        <f t="shared" si="2"/>
        <v>86752</v>
      </c>
      <c r="AH20" s="171">
        <f t="shared" si="3"/>
        <v>60.020721515999988</v>
      </c>
      <c r="AI20" s="173" t="str">
        <f t="shared" si="4"/>
        <v/>
      </c>
      <c r="AJ20" s="174" t="str">
        <f t="shared" si="5"/>
        <v/>
      </c>
      <c r="AK20" s="175" t="str">
        <f t="shared" si="6"/>
        <v/>
      </c>
      <c r="AL20" s="176" t="str">
        <f t="shared" si="7"/>
        <v/>
      </c>
      <c r="AM20" s="177"/>
      <c r="AN20" s="718" t="str">
        <f>'Sam-Pojazdy-WSAD'!AP21</f>
        <v>brak danych o pojazdach innych</v>
      </c>
      <c r="AO20" s="720">
        <v>1</v>
      </c>
      <c r="AP20" s="177"/>
      <c r="AQ20" s="177"/>
      <c r="AR20" s="177"/>
      <c r="AS20" s="177"/>
      <c r="AT20" s="177"/>
      <c r="AU20" s="177"/>
      <c r="AV20" s="177"/>
      <c r="AW20" s="177"/>
      <c r="AX20" s="177"/>
      <c r="AY20" s="177"/>
      <c r="AZ20" s="177"/>
      <c r="BA20" s="177"/>
    </row>
    <row r="21" spans="1:53" s="178" customFormat="1">
      <c r="A21" s="145"/>
      <c r="B21" s="713" t="str">
        <f>'Sam-Pojazdy-WSAD'!B21</f>
        <v>Leśny Park Kultury i Wypoczynku „Myślęcinek” Sp. z o.o. - inne</v>
      </c>
      <c r="C21" s="726" t="str">
        <f>'Sam-Pojazdy-WSAD'!C21</f>
        <v>LPKIW</v>
      </c>
      <c r="D21" s="169">
        <f>$AO21*'Sam-Pojazdy-WSAD'!D21</f>
        <v>0</v>
      </c>
      <c r="E21" s="170">
        <f>$AO21*'Sam-Pojazdy-WSAD'!E21</f>
        <v>0</v>
      </c>
      <c r="F21" s="171">
        <f>D21*'Wskazniki emisji paliw'!L$19</f>
        <v>0</v>
      </c>
      <c r="G21" s="169">
        <f>$AO21*'Sam-Pojazdy-WSAD'!H21</f>
        <v>0</v>
      </c>
      <c r="H21" s="170">
        <f>$AO21*'Sam-Pojazdy-WSAD'!I21</f>
        <v>0</v>
      </c>
      <c r="I21" s="171">
        <f>G21*'Wskazniki emisji paliw'!L$18</f>
        <v>0</v>
      </c>
      <c r="J21" s="169">
        <f>$AO21*'Sam-Pojazdy-WSAD'!L21</f>
        <v>0</v>
      </c>
      <c r="K21" s="170">
        <f>$AO21*'Sam-Pojazdy-WSAD'!M21</f>
        <v>0</v>
      </c>
      <c r="L21" s="171">
        <f>J21*'Wskazniki emisji paliw'!$L$28</f>
        <v>0</v>
      </c>
      <c r="M21" s="169">
        <f>$AO21*'Sam-Pojazdy-WSAD'!O21</f>
        <v>0</v>
      </c>
      <c r="N21" s="170">
        <f>$AO21*'Sam-Pojazdy-WSAD'!P21</f>
        <v>0</v>
      </c>
      <c r="O21" s="171">
        <f>M21*'Wskazniki emisji paliw'!M$29</f>
        <v>0</v>
      </c>
      <c r="P21" s="169">
        <f>$AO21*'Sam-Pojazdy-WSAD'!R21</f>
        <v>0</v>
      </c>
      <c r="Q21" s="170">
        <f>$AO21*'Sam-Pojazdy-WSAD'!S21</f>
        <v>0</v>
      </c>
      <c r="R21" s="171">
        <f>P21*'Wskazniki emisji paliw'!L$21</f>
        <v>0</v>
      </c>
      <c r="S21" s="169">
        <f>$AO21*'Sam-Pojazdy-WSAD'!U21</f>
        <v>0</v>
      </c>
      <c r="T21" s="170">
        <f>$AO21*'Sam-Pojazdy-WSAD'!V21</f>
        <v>0</v>
      </c>
      <c r="U21" s="171">
        <f>S21*'Wskazniki emisji paliw'!L$19*(1-U$6)</f>
        <v>0</v>
      </c>
      <c r="V21" s="169">
        <f>$AO21*'Sam-Pojazdy-WSAD'!X21</f>
        <v>0</v>
      </c>
      <c r="W21" s="170">
        <f>$AO21*'Sam-Pojazdy-WSAD'!Y21</f>
        <v>0</v>
      </c>
      <c r="X21" s="171">
        <f>V21*'Wskazniki emisji paliw'!L$18*(1-X$6)</f>
        <v>0</v>
      </c>
      <c r="Y21" s="169">
        <f>$AO21*'Sam-Pojazdy-WSAD'!AA21</f>
        <v>0</v>
      </c>
      <c r="Z21" s="170">
        <f>$AO21*'Sam-Pojazdy-WSAD'!AB21</f>
        <v>0</v>
      </c>
      <c r="AA21" s="171">
        <f>Y21*(HLOOKUP(Ogolne!$D$6,'Wskazniki emisji elektrycznosc'!$B$8:$G$29,Ogolne!$E$7,TRUE))/1000</f>
        <v>0</v>
      </c>
      <c r="AB21" s="145"/>
      <c r="AC21" s="167" t="str">
        <f t="shared" si="0"/>
        <v>Leśny Park Kultury i Wypoczynku „Myślęcinek” Sp. z o.o. - inne</v>
      </c>
      <c r="AD21" s="167" t="str">
        <f t="shared" si="1"/>
        <v>LPKIW</v>
      </c>
      <c r="AE21" s="172">
        <f>'Sam-Pojazdy-WSAD'!AG21</f>
        <v>0</v>
      </c>
      <c r="AF21" s="172">
        <f>'Sam-Pojazdy-WSAD'!AH21</f>
        <v>0</v>
      </c>
      <c r="AG21" s="170">
        <f t="shared" si="2"/>
        <v>0</v>
      </c>
      <c r="AH21" s="171">
        <f t="shared" si="3"/>
        <v>0</v>
      </c>
      <c r="AI21" s="173" t="str">
        <f t="shared" si="4"/>
        <v/>
      </c>
      <c r="AJ21" s="174" t="str">
        <f t="shared" si="5"/>
        <v/>
      </c>
      <c r="AK21" s="175" t="str">
        <f t="shared" si="6"/>
        <v/>
      </c>
      <c r="AL21" s="176" t="str">
        <f t="shared" si="7"/>
        <v/>
      </c>
      <c r="AM21" s="177"/>
      <c r="AN21" s="718">
        <f>'Sam-Pojazdy-WSAD'!AP23</f>
        <v>0</v>
      </c>
      <c r="AO21" s="720">
        <v>0</v>
      </c>
      <c r="AP21" s="177"/>
      <c r="AQ21" s="177"/>
      <c r="AR21" s="177"/>
      <c r="AS21" s="177"/>
      <c r="AT21" s="177"/>
      <c r="AU21" s="177"/>
      <c r="AV21" s="177"/>
      <c r="AW21" s="177"/>
      <c r="AX21" s="177"/>
      <c r="AY21" s="177"/>
      <c r="AZ21" s="177"/>
      <c r="BA21" s="177"/>
    </row>
    <row r="22" spans="1:53" s="178" customFormat="1">
      <c r="A22" s="145"/>
      <c r="B22" s="713" t="str">
        <f>'Sam-Pojazdy-WSAD'!B22</f>
        <v xml:space="preserve">Bydgoski Klub Sportowy Chemik </v>
      </c>
      <c r="C22" s="726" t="str">
        <f>'Sam-Pojazdy-WSAD'!C22</f>
        <v>BKSC</v>
      </c>
      <c r="D22" s="169">
        <f>$AO22*'Sam-Pojazdy-WSAD'!D22</f>
        <v>0</v>
      </c>
      <c r="E22" s="170">
        <f>$AO22*'Sam-Pojazdy-WSAD'!E22</f>
        <v>0</v>
      </c>
      <c r="F22" s="171">
        <f>D22*'Wskazniki emisji paliw'!L$19</f>
        <v>0</v>
      </c>
      <c r="G22" s="169">
        <f>$AO22*'Sam-Pojazdy-WSAD'!H22</f>
        <v>0</v>
      </c>
      <c r="H22" s="170">
        <f>$AO22*'Sam-Pojazdy-WSAD'!I22</f>
        <v>0</v>
      </c>
      <c r="I22" s="171">
        <f>G22*'Wskazniki emisji paliw'!L$18</f>
        <v>0</v>
      </c>
      <c r="J22" s="169">
        <f>$AO22*'Sam-Pojazdy-WSAD'!L22</f>
        <v>0</v>
      </c>
      <c r="K22" s="170">
        <f>$AO22*'Sam-Pojazdy-WSAD'!M22</f>
        <v>0</v>
      </c>
      <c r="L22" s="171">
        <f>J22*'Wskazniki emisji paliw'!$L$28</f>
        <v>0</v>
      </c>
      <c r="M22" s="169">
        <f>$AO22*'Sam-Pojazdy-WSAD'!O22</f>
        <v>0</v>
      </c>
      <c r="N22" s="170">
        <f>$AO22*'Sam-Pojazdy-WSAD'!P22</f>
        <v>0</v>
      </c>
      <c r="O22" s="171">
        <f>M22*'Wskazniki emisji paliw'!M$29</f>
        <v>0</v>
      </c>
      <c r="P22" s="169">
        <f>$AO22*'Sam-Pojazdy-WSAD'!R22</f>
        <v>0</v>
      </c>
      <c r="Q22" s="170">
        <f>$AO22*'Sam-Pojazdy-WSAD'!S22</f>
        <v>0</v>
      </c>
      <c r="R22" s="171">
        <f>P22*'Wskazniki emisji paliw'!L$21</f>
        <v>0</v>
      </c>
      <c r="S22" s="169">
        <f>$AO22*'Sam-Pojazdy-WSAD'!U22</f>
        <v>0</v>
      </c>
      <c r="T22" s="170">
        <f>$AO22*'Sam-Pojazdy-WSAD'!V22</f>
        <v>0</v>
      </c>
      <c r="U22" s="171">
        <f>S22*'Wskazniki emisji paliw'!L$19*(1-U$6)</f>
        <v>0</v>
      </c>
      <c r="V22" s="169">
        <f>$AO22*'Sam-Pojazdy-WSAD'!X22</f>
        <v>0</v>
      </c>
      <c r="W22" s="170">
        <f>$AO22*'Sam-Pojazdy-WSAD'!Y22</f>
        <v>0</v>
      </c>
      <c r="X22" s="171">
        <f>V22*'Wskazniki emisji paliw'!L$18*(1-X$6)</f>
        <v>0</v>
      </c>
      <c r="Y22" s="169">
        <f>$AO22*'Sam-Pojazdy-WSAD'!AA22</f>
        <v>0</v>
      </c>
      <c r="Z22" s="170">
        <f>$AO22*'Sam-Pojazdy-WSAD'!AB22</f>
        <v>0</v>
      </c>
      <c r="AA22" s="171">
        <f>Y22*(HLOOKUP(Ogolne!$D$6,'Wskazniki emisji elektrycznosc'!$B$8:$G$29,Ogolne!$E$7,TRUE))/1000</f>
        <v>0</v>
      </c>
      <c r="AB22" s="145"/>
      <c r="AC22" s="167" t="str">
        <f t="shared" si="0"/>
        <v xml:space="preserve">Bydgoski Klub Sportowy Chemik </v>
      </c>
      <c r="AD22" s="167" t="str">
        <f t="shared" si="1"/>
        <v>BKSC</v>
      </c>
      <c r="AE22" s="172">
        <f>'Sam-Pojazdy-WSAD'!AG22</f>
        <v>0</v>
      </c>
      <c r="AF22" s="172">
        <f>'Sam-Pojazdy-WSAD'!AH22</f>
        <v>0</v>
      </c>
      <c r="AG22" s="170">
        <f t="shared" si="2"/>
        <v>0</v>
      </c>
      <c r="AH22" s="171">
        <f t="shared" si="3"/>
        <v>0</v>
      </c>
      <c r="AI22" s="173" t="str">
        <f t="shared" si="4"/>
        <v/>
      </c>
      <c r="AJ22" s="174" t="str">
        <f t="shared" si="5"/>
        <v/>
      </c>
      <c r="AK22" s="175" t="str">
        <f t="shared" si="6"/>
        <v/>
      </c>
      <c r="AL22" s="176" t="str">
        <f t="shared" si="7"/>
        <v/>
      </c>
      <c r="AM22" s="177"/>
      <c r="AN22" s="718">
        <f>'Sam-Pojazdy-WSAD'!AP24</f>
        <v>0</v>
      </c>
      <c r="AO22" s="720">
        <v>1</v>
      </c>
      <c r="AP22" s="177"/>
      <c r="AQ22" s="177"/>
      <c r="AR22" s="177"/>
      <c r="AS22" s="177"/>
      <c r="AT22" s="177"/>
      <c r="AU22" s="177"/>
      <c r="AV22" s="177"/>
      <c r="AW22" s="177"/>
      <c r="AX22" s="177"/>
      <c r="AY22" s="177"/>
      <c r="AZ22" s="177"/>
      <c r="BA22" s="177"/>
    </row>
    <row r="23" spans="1:53" s="178" customFormat="1">
      <c r="A23" s="145"/>
      <c r="B23" s="713" t="str">
        <f>'Sam-Pojazdy-WSAD'!B23</f>
        <v>Miejska Pracownia Geodezyjna w Bydgoszczy</v>
      </c>
      <c r="C23" s="726" t="str">
        <f>'Sam-Pojazdy-WSAD'!C23</f>
        <v>MPG</v>
      </c>
      <c r="D23" s="169">
        <f>$AO23*'Sam-Pojazdy-WSAD'!D23</f>
        <v>1417.41</v>
      </c>
      <c r="E23" s="170">
        <f>$AO23*'Sam-Pojazdy-WSAD'!E23</f>
        <v>6307.47</v>
      </c>
      <c r="F23" s="171">
        <f>D23*'Wskazniki emisji paliw'!L$19</f>
        <v>3.3998041617120003</v>
      </c>
      <c r="G23" s="169">
        <f>$AO23*'Sam-Pojazdy-WSAD'!H23</f>
        <v>675.74</v>
      </c>
      <c r="H23" s="170">
        <f>$AO23*'Sam-Pojazdy-WSAD'!I23</f>
        <v>2581.33</v>
      </c>
      <c r="I23" s="171">
        <f>G23*'Wskazniki emisji paliw'!L$18</f>
        <v>1.8091077808014115</v>
      </c>
      <c r="J23" s="169">
        <f>$AO23*'Sam-Pojazdy-WSAD'!L23</f>
        <v>0</v>
      </c>
      <c r="K23" s="170">
        <f>$AO23*'Sam-Pojazdy-WSAD'!M23</f>
        <v>0</v>
      </c>
      <c r="L23" s="171">
        <f>J23*'Wskazniki emisji paliw'!$L$28</f>
        <v>0</v>
      </c>
      <c r="M23" s="169">
        <f>$AO23*'Sam-Pojazdy-WSAD'!O23</f>
        <v>0</v>
      </c>
      <c r="N23" s="170">
        <f>$AO23*'Sam-Pojazdy-WSAD'!P23</f>
        <v>0</v>
      </c>
      <c r="O23" s="171">
        <f>M23*'Wskazniki emisji paliw'!M$29</f>
        <v>0</v>
      </c>
      <c r="P23" s="169">
        <f>$AO23*'Sam-Pojazdy-WSAD'!R23</f>
        <v>0</v>
      </c>
      <c r="Q23" s="170">
        <f>$AO23*'Sam-Pojazdy-WSAD'!S23</f>
        <v>0</v>
      </c>
      <c r="R23" s="171">
        <f>P23*'Wskazniki emisji paliw'!L$21</f>
        <v>0</v>
      </c>
      <c r="S23" s="169">
        <f>$AO23*'Sam-Pojazdy-WSAD'!U23</f>
        <v>0</v>
      </c>
      <c r="T23" s="170">
        <f>$AO23*'Sam-Pojazdy-WSAD'!V23</f>
        <v>0</v>
      </c>
      <c r="U23" s="171">
        <f>S23*'Wskazniki emisji paliw'!L$19*(1-U$6)</f>
        <v>0</v>
      </c>
      <c r="V23" s="169">
        <f>$AO23*'Sam-Pojazdy-WSAD'!X23</f>
        <v>0</v>
      </c>
      <c r="W23" s="170">
        <f>$AO23*'Sam-Pojazdy-WSAD'!Y23</f>
        <v>0</v>
      </c>
      <c r="X23" s="171">
        <f>V23*'Wskazniki emisji paliw'!L$18*(1-X$6)</f>
        <v>0</v>
      </c>
      <c r="Y23" s="169">
        <f>$AO23*'Sam-Pojazdy-WSAD'!AA23</f>
        <v>0</v>
      </c>
      <c r="Z23" s="170">
        <f>$AO23*'Sam-Pojazdy-WSAD'!AB23</f>
        <v>0</v>
      </c>
      <c r="AA23" s="171">
        <f>Y23*(HLOOKUP(Ogolne!$D$6,'Wskazniki emisji elektrycznosc'!$B$8:$G$29,Ogolne!$E$7,TRUE))/1000</f>
        <v>0</v>
      </c>
      <c r="AB23" s="145"/>
      <c r="AC23" s="167" t="str">
        <f t="shared" si="0"/>
        <v>Miejska Pracownia Geodezyjna w Bydgoszczy</v>
      </c>
      <c r="AD23" s="167" t="str">
        <f t="shared" si="1"/>
        <v>MPG</v>
      </c>
      <c r="AE23" s="172">
        <f>'Sam-Pojazdy-WSAD'!AG23</f>
        <v>0</v>
      </c>
      <c r="AF23" s="172">
        <f>'Sam-Pojazdy-WSAD'!AH23</f>
        <v>0</v>
      </c>
      <c r="AG23" s="170">
        <f t="shared" si="2"/>
        <v>8888.7999999999993</v>
      </c>
      <c r="AH23" s="171">
        <f t="shared" si="3"/>
        <v>5.2089119425134118</v>
      </c>
      <c r="AI23" s="173" t="str">
        <f t="shared" si="4"/>
        <v/>
      </c>
      <c r="AJ23" s="174" t="str">
        <f t="shared" si="5"/>
        <v/>
      </c>
      <c r="AK23" s="175" t="str">
        <f t="shared" si="6"/>
        <v/>
      </c>
      <c r="AL23" s="176" t="str">
        <f t="shared" si="7"/>
        <v/>
      </c>
      <c r="AM23" s="177"/>
      <c r="AN23" s="718">
        <f>'Sam-Pojazdy-WSAD'!AP25</f>
        <v>0</v>
      </c>
      <c r="AO23" s="720">
        <v>1</v>
      </c>
      <c r="AP23" s="177"/>
      <c r="AQ23" s="177"/>
      <c r="AR23" s="177"/>
      <c r="AS23" s="177"/>
      <c r="AT23" s="177"/>
      <c r="AU23" s="177"/>
      <c r="AV23" s="177"/>
      <c r="AW23" s="177"/>
      <c r="AX23" s="177"/>
      <c r="AY23" s="177"/>
      <c r="AZ23" s="177"/>
      <c r="BA23" s="177"/>
    </row>
    <row r="24" spans="1:53" s="178" customFormat="1" ht="22.5">
      <c r="A24" s="145"/>
      <c r="B24" s="713" t="str">
        <f>'Sam-Pojazdy-WSAD'!B24</f>
        <v>Miejski Ośrodek Kultury w Bydgoszczy</v>
      </c>
      <c r="C24" s="726" t="str">
        <f>'Sam-Pojazdy-WSAD'!C24</f>
        <v>MOK</v>
      </c>
      <c r="D24" s="169">
        <f>$AO24*'Sam-Pojazdy-WSAD'!D24</f>
        <v>0</v>
      </c>
      <c r="E24" s="170">
        <f>$AO24*'Sam-Pojazdy-WSAD'!E24</f>
        <v>0</v>
      </c>
      <c r="F24" s="171">
        <f>D24*'Wskazniki emisji paliw'!L$19</f>
        <v>0</v>
      </c>
      <c r="G24" s="169">
        <f>$AO24*'Sam-Pojazdy-WSAD'!H24</f>
        <v>1477.4</v>
      </c>
      <c r="H24" s="170">
        <f>$AO24*'Sam-Pojazdy-WSAD'!I24</f>
        <v>4181.04</v>
      </c>
      <c r="I24" s="171">
        <f>G24*'Wskazniki emisji paliw'!L$18</f>
        <v>3.9553316887501189</v>
      </c>
      <c r="J24" s="169">
        <f>$AO24*'Sam-Pojazdy-WSAD'!L24</f>
        <v>0</v>
      </c>
      <c r="K24" s="170">
        <f>$AO24*'Sam-Pojazdy-WSAD'!M24</f>
        <v>0</v>
      </c>
      <c r="L24" s="171">
        <f>J24*'Wskazniki emisji paliw'!$L$28</f>
        <v>0</v>
      </c>
      <c r="M24" s="169">
        <f>$AO24*'Sam-Pojazdy-WSAD'!O24</f>
        <v>0</v>
      </c>
      <c r="N24" s="170">
        <f>$AO24*'Sam-Pojazdy-WSAD'!P24</f>
        <v>0</v>
      </c>
      <c r="O24" s="171">
        <f>M24*'Wskazniki emisji paliw'!M$29</f>
        <v>0</v>
      </c>
      <c r="P24" s="169">
        <f>$AO24*'Sam-Pojazdy-WSAD'!R24</f>
        <v>0</v>
      </c>
      <c r="Q24" s="170">
        <f>$AO24*'Sam-Pojazdy-WSAD'!S24</f>
        <v>0</v>
      </c>
      <c r="R24" s="171">
        <f>P24*'Wskazniki emisji paliw'!L$21</f>
        <v>0</v>
      </c>
      <c r="S24" s="169">
        <f>$AO24*'Sam-Pojazdy-WSAD'!U24</f>
        <v>0</v>
      </c>
      <c r="T24" s="170">
        <f>$AO24*'Sam-Pojazdy-WSAD'!V24</f>
        <v>0</v>
      </c>
      <c r="U24" s="171">
        <f>S24*'Wskazniki emisji paliw'!L$19*(1-U$6)</f>
        <v>0</v>
      </c>
      <c r="V24" s="169">
        <f>$AO24*'Sam-Pojazdy-WSAD'!X24</f>
        <v>0</v>
      </c>
      <c r="W24" s="170">
        <f>$AO24*'Sam-Pojazdy-WSAD'!Y24</f>
        <v>0</v>
      </c>
      <c r="X24" s="171">
        <f>V24*'Wskazniki emisji paliw'!L$18*(1-X$6)</f>
        <v>0</v>
      </c>
      <c r="Y24" s="169">
        <f>$AO24*'Sam-Pojazdy-WSAD'!AA24</f>
        <v>0</v>
      </c>
      <c r="Z24" s="170">
        <f>$AO24*'Sam-Pojazdy-WSAD'!AB24</f>
        <v>0</v>
      </c>
      <c r="AA24" s="171">
        <f>Y24*(HLOOKUP(Ogolne!$D$6,'Wskazniki emisji elektrycznosc'!$B$8:$G$29,Ogolne!$E$7,TRUE))/1000</f>
        <v>0</v>
      </c>
      <c r="AB24" s="145"/>
      <c r="AC24" s="167" t="str">
        <f t="shared" si="0"/>
        <v>Miejski Ośrodek Kultury w Bydgoszczy</v>
      </c>
      <c r="AD24" s="167" t="str">
        <f t="shared" si="1"/>
        <v>MOK</v>
      </c>
      <c r="AE24" s="172">
        <f>'Sam-Pojazdy-WSAD'!AG24</f>
        <v>1</v>
      </c>
      <c r="AF24" s="172">
        <f>'Sam-Pojazdy-WSAD'!AH24</f>
        <v>12405</v>
      </c>
      <c r="AG24" s="170">
        <f t="shared" si="2"/>
        <v>4181.04</v>
      </c>
      <c r="AH24" s="171">
        <f t="shared" si="3"/>
        <v>3.9553316887501189</v>
      </c>
      <c r="AI24" s="173">
        <f t="shared" si="4"/>
        <v>0.33704474002418378</v>
      </c>
      <c r="AJ24" s="174">
        <f t="shared" si="5"/>
        <v>4181.04</v>
      </c>
      <c r="AK24" s="175">
        <f t="shared" si="6"/>
        <v>3.1884979353084391E-4</v>
      </c>
      <c r="AL24" s="176">
        <f t="shared" si="7"/>
        <v>3.9553316887501189</v>
      </c>
      <c r="AM24" s="177"/>
      <c r="AN24" s="718" t="str">
        <f>'Sam-Pojazdy-WSAD'!AP26</f>
        <v>brak danych dla niektórych jednostek w podgrupie</v>
      </c>
      <c r="AO24" s="720">
        <v>1</v>
      </c>
      <c r="AP24" s="177"/>
      <c r="AQ24" s="177"/>
      <c r="AR24" s="177"/>
      <c r="AS24" s="177"/>
      <c r="AT24" s="177"/>
      <c r="AU24" s="177"/>
      <c r="AV24" s="177"/>
      <c r="AW24" s="177"/>
      <c r="AX24" s="177"/>
      <c r="AY24" s="177"/>
      <c r="AZ24" s="177"/>
      <c r="BA24" s="177"/>
    </row>
    <row r="25" spans="1:53" s="178" customFormat="1" ht="22.5">
      <c r="A25" s="145"/>
      <c r="B25" s="713" t="str">
        <f>'Sam-Pojazdy-WSAD'!B25</f>
        <v>Miejski Ośrodek Pomocy Społecznej - DPS i Domy Dziecka</v>
      </c>
      <c r="C25" s="726" t="str">
        <f>'Sam-Pojazdy-WSAD'!C25</f>
        <v>MOPS</v>
      </c>
      <c r="D25" s="169">
        <f>$AO25*'Sam-Pojazdy-WSAD'!D25</f>
        <v>1513.25</v>
      </c>
      <c r="E25" s="170">
        <f>$AO25*'Sam-Pojazdy-WSAD'!E25</f>
        <v>4159.24</v>
      </c>
      <c r="F25" s="171">
        <f>D25*'Wskazniki emisji paliw'!L$19</f>
        <v>3.6296862924000002</v>
      </c>
      <c r="G25" s="169">
        <f>$AO25*'Sam-Pojazdy-WSAD'!H25</f>
        <v>5694</v>
      </c>
      <c r="H25" s="170">
        <f>$AO25*'Sam-Pojazdy-WSAD'!I25</f>
        <v>14650.25</v>
      </c>
      <c r="I25" s="171">
        <f>G25*'Wskazniki emisji paliw'!L$18</f>
        <v>15.244117121797196</v>
      </c>
      <c r="J25" s="169">
        <f>$AO25*'Sam-Pojazdy-WSAD'!L25</f>
        <v>0</v>
      </c>
      <c r="K25" s="170">
        <f>$AO25*'Sam-Pojazdy-WSAD'!M25</f>
        <v>0</v>
      </c>
      <c r="L25" s="171">
        <f>J25*'Wskazniki emisji paliw'!$L$28</f>
        <v>0</v>
      </c>
      <c r="M25" s="169">
        <f>$AO25*'Sam-Pojazdy-WSAD'!O25</f>
        <v>0</v>
      </c>
      <c r="N25" s="170">
        <f>$AO25*'Sam-Pojazdy-WSAD'!P25</f>
        <v>0</v>
      </c>
      <c r="O25" s="171">
        <f>M25*'Wskazniki emisji paliw'!M$29</f>
        <v>0</v>
      </c>
      <c r="P25" s="169">
        <f>$AO25*'Sam-Pojazdy-WSAD'!R25</f>
        <v>0</v>
      </c>
      <c r="Q25" s="170">
        <f>$AO25*'Sam-Pojazdy-WSAD'!S25</f>
        <v>0</v>
      </c>
      <c r="R25" s="171">
        <f>P25*'Wskazniki emisji paliw'!L$21</f>
        <v>0</v>
      </c>
      <c r="S25" s="169">
        <f>$AO25*'Sam-Pojazdy-WSAD'!U25</f>
        <v>0</v>
      </c>
      <c r="T25" s="170">
        <f>$AO25*'Sam-Pojazdy-WSAD'!V25</f>
        <v>0</v>
      </c>
      <c r="U25" s="171">
        <f>S25*'Wskazniki emisji paliw'!L$19*(1-U$6)</f>
        <v>0</v>
      </c>
      <c r="V25" s="169">
        <f>$AO25*'Sam-Pojazdy-WSAD'!X25</f>
        <v>0</v>
      </c>
      <c r="W25" s="170">
        <f>$AO25*'Sam-Pojazdy-WSAD'!Y25</f>
        <v>0</v>
      </c>
      <c r="X25" s="171">
        <f>V25*'Wskazniki emisji paliw'!L$18*(1-X$6)</f>
        <v>0</v>
      </c>
      <c r="Y25" s="169">
        <f>$AO25*'Sam-Pojazdy-WSAD'!AA25</f>
        <v>0</v>
      </c>
      <c r="Z25" s="170">
        <f>$AO25*'Sam-Pojazdy-WSAD'!AB25</f>
        <v>0</v>
      </c>
      <c r="AA25" s="171">
        <f>Y25*(HLOOKUP(Ogolne!$D$6,'Wskazniki emisji elektrycznosc'!$B$8:$G$29,Ogolne!$E$7,TRUE))/1000</f>
        <v>0</v>
      </c>
      <c r="AB25" s="145"/>
      <c r="AC25" s="167" t="str">
        <f t="shared" si="0"/>
        <v>Miejski Ośrodek Pomocy Społecznej - DPS i Domy Dziecka</v>
      </c>
      <c r="AD25" s="167" t="str">
        <f t="shared" si="1"/>
        <v>MOPS</v>
      </c>
      <c r="AE25" s="172">
        <f>'Sam-Pojazdy-WSAD'!AG25</f>
        <v>7</v>
      </c>
      <c r="AF25" s="172">
        <f>'Sam-Pojazdy-WSAD'!AH25</f>
        <v>66431</v>
      </c>
      <c r="AG25" s="170">
        <f t="shared" si="2"/>
        <v>18809.489999999998</v>
      </c>
      <c r="AH25" s="171">
        <f t="shared" si="3"/>
        <v>18.873803414197194</v>
      </c>
      <c r="AI25" s="173">
        <f t="shared" si="4"/>
        <v>0.28314326142915203</v>
      </c>
      <c r="AJ25" s="174">
        <f t="shared" si="5"/>
        <v>2687.0699999999997</v>
      </c>
      <c r="AK25" s="175">
        <f t="shared" si="6"/>
        <v>2.8411138495878721E-4</v>
      </c>
      <c r="AL25" s="176">
        <f t="shared" si="7"/>
        <v>2.6962576305995993</v>
      </c>
      <c r="AM25" s="177"/>
      <c r="AN25" s="718" t="str">
        <f>'Sam-Pojazdy-WSAD'!AP27</f>
        <v>brak danych dla niektórych jednostek w podgrupie</v>
      </c>
      <c r="AO25" s="720">
        <v>1</v>
      </c>
      <c r="AP25" s="177"/>
      <c r="AQ25" s="177"/>
      <c r="AR25" s="177"/>
      <c r="AS25" s="177"/>
      <c r="AT25" s="177"/>
      <c r="AU25" s="177"/>
      <c r="AV25" s="177"/>
      <c r="AW25" s="177"/>
      <c r="AX25" s="177"/>
      <c r="AY25" s="177"/>
      <c r="AZ25" s="177"/>
      <c r="BA25" s="177"/>
    </row>
    <row r="26" spans="1:53" s="178" customFormat="1" ht="22.5">
      <c r="A26" s="145"/>
      <c r="B26" s="713" t="str">
        <f>'Sam-Pojazdy-WSAD'!B26</f>
        <v>Miejski Ośrodek Pomocy Społecznej - MOPS ogólne</v>
      </c>
      <c r="C26" s="726" t="str">
        <f>'Sam-Pojazdy-WSAD'!C26</f>
        <v>MOPS</v>
      </c>
      <c r="D26" s="169">
        <f>$AO26*'Sam-Pojazdy-WSAD'!D26</f>
        <v>1713.2</v>
      </c>
      <c r="E26" s="170">
        <f>$AO26*'Sam-Pojazdy-WSAD'!E26</f>
        <v>6781.14</v>
      </c>
      <c r="F26" s="171">
        <f>D26*'Wskazniki emisji paliw'!L$19</f>
        <v>4.1092870022400003</v>
      </c>
      <c r="G26" s="169">
        <f>$AO26*'Sam-Pojazdy-WSAD'!H26</f>
        <v>0</v>
      </c>
      <c r="H26" s="170">
        <f>$AO26*'Sam-Pojazdy-WSAD'!I26</f>
        <v>0</v>
      </c>
      <c r="I26" s="171">
        <f>G26*'Wskazniki emisji paliw'!L$18</f>
        <v>0</v>
      </c>
      <c r="J26" s="169">
        <f>$AO26*'Sam-Pojazdy-WSAD'!L26</f>
        <v>0</v>
      </c>
      <c r="K26" s="170">
        <f>$AO26*'Sam-Pojazdy-WSAD'!M26</f>
        <v>0</v>
      </c>
      <c r="L26" s="171">
        <f>J26*'Wskazniki emisji paliw'!$L$28</f>
        <v>0</v>
      </c>
      <c r="M26" s="169">
        <f>$AO26*'Sam-Pojazdy-WSAD'!O26</f>
        <v>0</v>
      </c>
      <c r="N26" s="170">
        <f>$AO26*'Sam-Pojazdy-WSAD'!P26</f>
        <v>0</v>
      </c>
      <c r="O26" s="171">
        <f>M26*'Wskazniki emisji paliw'!M$29</f>
        <v>0</v>
      </c>
      <c r="P26" s="169">
        <f>$AO26*'Sam-Pojazdy-WSAD'!R26</f>
        <v>0</v>
      </c>
      <c r="Q26" s="170">
        <f>$AO26*'Sam-Pojazdy-WSAD'!S26</f>
        <v>0</v>
      </c>
      <c r="R26" s="171">
        <f>P26*'Wskazniki emisji paliw'!L$21</f>
        <v>0</v>
      </c>
      <c r="S26" s="169">
        <f>$AO26*'Sam-Pojazdy-WSAD'!U26</f>
        <v>0</v>
      </c>
      <c r="T26" s="170">
        <f>$AO26*'Sam-Pojazdy-WSAD'!V26</f>
        <v>0</v>
      </c>
      <c r="U26" s="171">
        <f>S26*'Wskazniki emisji paliw'!L$19*(1-U$6)</f>
        <v>0</v>
      </c>
      <c r="V26" s="169">
        <f>$AO26*'Sam-Pojazdy-WSAD'!X26</f>
        <v>0</v>
      </c>
      <c r="W26" s="170">
        <f>$AO26*'Sam-Pojazdy-WSAD'!Y26</f>
        <v>0</v>
      </c>
      <c r="X26" s="171">
        <f>V26*'Wskazniki emisji paliw'!L$18*(1-X$6)</f>
        <v>0</v>
      </c>
      <c r="Y26" s="169">
        <f>$AO26*'Sam-Pojazdy-WSAD'!AA26</f>
        <v>0</v>
      </c>
      <c r="Z26" s="170">
        <f>$AO26*'Sam-Pojazdy-WSAD'!AB26</f>
        <v>0</v>
      </c>
      <c r="AA26" s="171">
        <f>Y26*(HLOOKUP(Ogolne!$D$6,'Wskazniki emisji elektrycznosc'!$B$8:$G$29,Ogolne!$E$7,TRUE))/1000</f>
        <v>0</v>
      </c>
      <c r="AB26" s="145"/>
      <c r="AC26" s="167" t="str">
        <f t="shared" si="0"/>
        <v>Miejski Ośrodek Pomocy Społecznej - MOPS ogólne</v>
      </c>
      <c r="AD26" s="167" t="str">
        <f t="shared" si="1"/>
        <v>MOPS</v>
      </c>
      <c r="AE26" s="172">
        <f>'Sam-Pojazdy-WSAD'!AG26</f>
        <v>1</v>
      </c>
      <c r="AF26" s="172">
        <f>'Sam-Pojazdy-WSAD'!AH26</f>
        <v>17685</v>
      </c>
      <c r="AG26" s="170">
        <f t="shared" si="2"/>
        <v>6781.14</v>
      </c>
      <c r="AH26" s="171">
        <f t="shared" si="3"/>
        <v>4.1092870022400003</v>
      </c>
      <c r="AI26" s="173">
        <f t="shared" si="4"/>
        <v>0.38344020356234099</v>
      </c>
      <c r="AJ26" s="174">
        <f t="shared" si="5"/>
        <v>6781.14</v>
      </c>
      <c r="AK26" s="175">
        <f t="shared" si="6"/>
        <v>2.3236002274469892E-4</v>
      </c>
      <c r="AL26" s="176">
        <f t="shared" si="7"/>
        <v>4.1092870022400003</v>
      </c>
      <c r="AM26" s="177"/>
      <c r="AN26" s="718" t="str">
        <f>'Sam-Pojazdy-WSAD'!AP28</f>
        <v>brak danych dla niektórych jednostek w podgrupie</v>
      </c>
      <c r="AO26" s="720">
        <v>1</v>
      </c>
      <c r="AP26" s="177"/>
      <c r="AQ26" s="177"/>
      <c r="AR26" s="177"/>
      <c r="AS26" s="177"/>
      <c r="AT26" s="177"/>
      <c r="AU26" s="177"/>
      <c r="AV26" s="177"/>
      <c r="AW26" s="177"/>
      <c r="AX26" s="177"/>
      <c r="AY26" s="177"/>
      <c r="AZ26" s="177"/>
      <c r="BA26" s="177"/>
    </row>
    <row r="27" spans="1:53" s="178" customFormat="1">
      <c r="A27" s="145"/>
      <c r="B27" s="713" t="str">
        <f>'Sam-Pojazdy-WSAD'!B27</f>
        <v>Miejski Ośrodek Pomocy Społecznej - ZPOW</v>
      </c>
      <c r="C27" s="726" t="str">
        <f>'Sam-Pojazdy-WSAD'!C27</f>
        <v>MOPS</v>
      </c>
      <c r="D27" s="169">
        <f>$AO27*'Sam-Pojazdy-WSAD'!D27</f>
        <v>1132</v>
      </c>
      <c r="E27" s="170">
        <f>$AO27*'Sam-Pojazdy-WSAD'!E27</f>
        <v>4338</v>
      </c>
      <c r="F27" s="171">
        <f>D27*'Wskazniki emisji paliw'!L$19</f>
        <v>2.7152188224000002</v>
      </c>
      <c r="G27" s="169">
        <f>$AO27*'Sam-Pojazdy-WSAD'!H27</f>
        <v>2755</v>
      </c>
      <c r="H27" s="170">
        <f>$AO27*'Sam-Pojazdy-WSAD'!I27</f>
        <v>11174</v>
      </c>
      <c r="I27" s="171">
        <f>G27*'Wskazniki emisji paliw'!L$18</f>
        <v>7.3757538936689979</v>
      </c>
      <c r="J27" s="169">
        <f>$AO27*'Sam-Pojazdy-WSAD'!L27</f>
        <v>0</v>
      </c>
      <c r="K27" s="170">
        <f>$AO27*'Sam-Pojazdy-WSAD'!M27</f>
        <v>0</v>
      </c>
      <c r="L27" s="171">
        <f>J27*'Wskazniki emisji paliw'!$L$28</f>
        <v>0</v>
      </c>
      <c r="M27" s="169">
        <f>$AO27*'Sam-Pojazdy-WSAD'!O27</f>
        <v>0</v>
      </c>
      <c r="N27" s="170">
        <f>$AO27*'Sam-Pojazdy-WSAD'!P27</f>
        <v>0</v>
      </c>
      <c r="O27" s="171">
        <f>M27*'Wskazniki emisji paliw'!M$29</f>
        <v>0</v>
      </c>
      <c r="P27" s="169">
        <f>$AO27*'Sam-Pojazdy-WSAD'!R27</f>
        <v>0</v>
      </c>
      <c r="Q27" s="170">
        <f>$AO27*'Sam-Pojazdy-WSAD'!S27</f>
        <v>0</v>
      </c>
      <c r="R27" s="171">
        <f>P27*'Wskazniki emisji paliw'!L$21</f>
        <v>0</v>
      </c>
      <c r="S27" s="169">
        <f>$AO27*'Sam-Pojazdy-WSAD'!U27</f>
        <v>0</v>
      </c>
      <c r="T27" s="170">
        <f>$AO27*'Sam-Pojazdy-WSAD'!V27</f>
        <v>0</v>
      </c>
      <c r="U27" s="171">
        <f>S27*'Wskazniki emisji paliw'!L$19*(1-U$6)</f>
        <v>0</v>
      </c>
      <c r="V27" s="169">
        <f>$AO27*'Sam-Pojazdy-WSAD'!X27</f>
        <v>0</v>
      </c>
      <c r="W27" s="170">
        <f>$AO27*'Sam-Pojazdy-WSAD'!Y27</f>
        <v>0</v>
      </c>
      <c r="X27" s="171">
        <f>V27*'Wskazniki emisji paliw'!L$18*(1-X$6)</f>
        <v>0</v>
      </c>
      <c r="Y27" s="169">
        <f>$AO27*'Sam-Pojazdy-WSAD'!AA27</f>
        <v>0</v>
      </c>
      <c r="Z27" s="170">
        <f>$AO27*'Sam-Pojazdy-WSAD'!AB27</f>
        <v>0</v>
      </c>
      <c r="AA27" s="171">
        <f>Y27*(HLOOKUP(Ogolne!$D$6,'Wskazniki emisji elektrycznosc'!$B$8:$G$29,Ogolne!$E$7,TRUE))/1000</f>
        <v>0</v>
      </c>
      <c r="AB27" s="145"/>
      <c r="AC27" s="167" t="str">
        <f t="shared" si="0"/>
        <v>Miejski Ośrodek Pomocy Społecznej - ZPOW</v>
      </c>
      <c r="AD27" s="167" t="str">
        <f t="shared" si="1"/>
        <v>MOPS</v>
      </c>
      <c r="AE27" s="172">
        <f>'Sam-Pojazdy-WSAD'!AG27</f>
        <v>7</v>
      </c>
      <c r="AF27" s="172">
        <f>'Sam-Pojazdy-WSAD'!AH27</f>
        <v>40701</v>
      </c>
      <c r="AG27" s="170">
        <f t="shared" si="2"/>
        <v>15512</v>
      </c>
      <c r="AH27" s="171">
        <f t="shared" si="3"/>
        <v>10.090972716068999</v>
      </c>
      <c r="AI27" s="173">
        <f t="shared" si="4"/>
        <v>0.38112085698140097</v>
      </c>
      <c r="AJ27" s="174">
        <f t="shared" si="5"/>
        <v>2216</v>
      </c>
      <c r="AK27" s="175">
        <f t="shared" si="6"/>
        <v>2.4792935593889579E-4</v>
      </c>
      <c r="AL27" s="176">
        <f t="shared" si="7"/>
        <v>1.4415675308669997</v>
      </c>
      <c r="AM27" s="177"/>
      <c r="AN27" s="718">
        <f>'Sam-Pojazdy-WSAD'!AP29</f>
        <v>0</v>
      </c>
      <c r="AO27" s="720">
        <v>1</v>
      </c>
      <c r="AP27" s="177"/>
      <c r="AQ27" s="177"/>
      <c r="AR27" s="177"/>
      <c r="AS27" s="177"/>
      <c r="AT27" s="177"/>
      <c r="AU27" s="177"/>
      <c r="AV27" s="177"/>
      <c r="AW27" s="177"/>
      <c r="AX27" s="177"/>
      <c r="AY27" s="177"/>
      <c r="AZ27" s="177"/>
      <c r="BA27" s="177"/>
    </row>
    <row r="28" spans="1:53" s="178" customFormat="1">
      <c r="A28" s="145"/>
      <c r="B28" s="713" t="str">
        <f>'Sam-Pojazdy-WSAD'!B28</f>
        <v xml:space="preserve">Miejskie Wodociągi i Kanalizacja w Bydgoszczy Sp. z o.o. </v>
      </c>
      <c r="C28" s="726" t="str">
        <f>'Sam-Pojazdy-WSAD'!C28</f>
        <v>MWIK</v>
      </c>
      <c r="D28" s="169">
        <f>$AO28*'Sam-Pojazdy-WSAD'!D28</f>
        <v>25211</v>
      </c>
      <c r="E28" s="170">
        <f>$AO28*'Sam-Pojazdy-WSAD'!E28</f>
        <v>91964.685799999992</v>
      </c>
      <c r="F28" s="171">
        <f>D28*'Wskazniki emisji paliw'!L$19</f>
        <v>60.4711852752</v>
      </c>
      <c r="G28" s="169">
        <f>$AO28*'Sam-Pojazdy-WSAD'!H28</f>
        <v>106358</v>
      </c>
      <c r="H28" s="170">
        <f>$AO28*'Sam-Pojazdy-WSAD'!I28</f>
        <v>367211.63079999998</v>
      </c>
      <c r="I28" s="171">
        <f>G28*'Wskazniki emisji paliw'!L$18</f>
        <v>284.74425866528031</v>
      </c>
      <c r="J28" s="169">
        <f>$AO28*'Sam-Pojazdy-WSAD'!L28</f>
        <v>0</v>
      </c>
      <c r="K28" s="170">
        <f>$AO28*'Sam-Pojazdy-WSAD'!M28</f>
        <v>0</v>
      </c>
      <c r="L28" s="171">
        <f>J28*'Wskazniki emisji paliw'!$L$28</f>
        <v>0</v>
      </c>
      <c r="M28" s="169">
        <f>$AO28*'Sam-Pojazdy-WSAD'!O28</f>
        <v>0</v>
      </c>
      <c r="N28" s="170">
        <f>$AO28*'Sam-Pojazdy-WSAD'!P28</f>
        <v>0</v>
      </c>
      <c r="O28" s="171">
        <f>M28*'Wskazniki emisji paliw'!M$29</f>
        <v>0</v>
      </c>
      <c r="P28" s="169">
        <f>$AO28*'Sam-Pojazdy-WSAD'!R28</f>
        <v>0</v>
      </c>
      <c r="Q28" s="170">
        <f>$AO28*'Sam-Pojazdy-WSAD'!S28</f>
        <v>0</v>
      </c>
      <c r="R28" s="171">
        <f>P28*'Wskazniki emisji paliw'!L$21</f>
        <v>0</v>
      </c>
      <c r="S28" s="169">
        <f>$AO28*'Sam-Pojazdy-WSAD'!U28</f>
        <v>0</v>
      </c>
      <c r="T28" s="170">
        <f>$AO28*'Sam-Pojazdy-WSAD'!V28</f>
        <v>0</v>
      </c>
      <c r="U28" s="171">
        <f>S28*'Wskazniki emisji paliw'!L$19*(1-U$6)</f>
        <v>0</v>
      </c>
      <c r="V28" s="169">
        <f>$AO28*'Sam-Pojazdy-WSAD'!X28</f>
        <v>0</v>
      </c>
      <c r="W28" s="170">
        <f>$AO28*'Sam-Pojazdy-WSAD'!Y28</f>
        <v>0</v>
      </c>
      <c r="X28" s="171">
        <f>V28*'Wskazniki emisji paliw'!L$18*(1-X$6)</f>
        <v>0</v>
      </c>
      <c r="Y28" s="169">
        <f>$AO28*'Sam-Pojazdy-WSAD'!AA28</f>
        <v>0</v>
      </c>
      <c r="Z28" s="170">
        <f>$AO28*'Sam-Pojazdy-WSAD'!AB28</f>
        <v>0</v>
      </c>
      <c r="AA28" s="171">
        <f>Y28*(HLOOKUP(Ogolne!$D$6,'Wskazniki emisji elektrycznosc'!$B$8:$G$29,Ogolne!$E$7,TRUE))/1000</f>
        <v>0</v>
      </c>
      <c r="AB28" s="145"/>
      <c r="AC28" s="167" t="str">
        <f t="shared" ref="AC28:AD35" si="8">B28</f>
        <v xml:space="preserve">Miejskie Wodociągi i Kanalizacja w Bydgoszczy Sp. z o.o. </v>
      </c>
      <c r="AD28" s="167" t="str">
        <f t="shared" si="8"/>
        <v>MWIK</v>
      </c>
      <c r="AE28" s="172">
        <f>'Sam-Pojazdy-WSAD'!AG28</f>
        <v>88</v>
      </c>
      <c r="AF28" s="172">
        <f>'Sam-Pojazdy-WSAD'!AH28</f>
        <v>814659</v>
      </c>
      <c r="AG28" s="170">
        <f t="shared" ref="AG28:AH35" si="9">E28+H28+K28+N28+Q28+T28+W28+Z28</f>
        <v>459176.31659999996</v>
      </c>
      <c r="AH28" s="171">
        <f t="shared" si="9"/>
        <v>345.21544394048033</v>
      </c>
      <c r="AI28" s="173">
        <f t="shared" si="4"/>
        <v>0.56364235416290742</v>
      </c>
      <c r="AJ28" s="174">
        <f t="shared" si="5"/>
        <v>5217.9126886363629</v>
      </c>
      <c r="AK28" s="175">
        <f t="shared" si="6"/>
        <v>4.2375453280511273E-4</v>
      </c>
      <c r="AL28" s="176">
        <f t="shared" si="7"/>
        <v>3.9229027720509126</v>
      </c>
      <c r="AM28" s="177"/>
      <c r="AN28" s="718">
        <f>'Sam-Pojazdy-WSAD'!AP30</f>
        <v>0</v>
      </c>
      <c r="AO28" s="720">
        <v>1</v>
      </c>
      <c r="AP28" s="177"/>
      <c r="AQ28" s="177"/>
      <c r="AR28" s="177"/>
      <c r="AS28" s="177"/>
      <c r="AT28" s="177"/>
      <c r="AU28" s="177"/>
      <c r="AV28" s="177"/>
      <c r="AW28" s="177"/>
      <c r="AX28" s="177"/>
      <c r="AY28" s="177"/>
      <c r="AZ28" s="177"/>
      <c r="BA28" s="177"/>
    </row>
    <row r="29" spans="1:53" s="178" customFormat="1">
      <c r="A29" s="145"/>
      <c r="B29" s="713" t="str">
        <f>'Sam-Pojazdy-WSAD'!B29</f>
        <v>Miejskie Wodociągi i Kanalizacja w Bydgoszczy Sp. z o.o.  - inne</v>
      </c>
      <c r="C29" s="726" t="str">
        <f>'Sam-Pojazdy-WSAD'!C29</f>
        <v>MWIK</v>
      </c>
      <c r="D29" s="169">
        <f>$AO29*'Sam-Pojazdy-WSAD'!D29</f>
        <v>0</v>
      </c>
      <c r="E29" s="170">
        <f>$AO29*'Sam-Pojazdy-WSAD'!E29</f>
        <v>0</v>
      </c>
      <c r="F29" s="171">
        <f>D29*'Wskazniki emisji paliw'!L$19</f>
        <v>0</v>
      </c>
      <c r="G29" s="169">
        <f>$AO29*'Sam-Pojazdy-WSAD'!H29</f>
        <v>306818</v>
      </c>
      <c r="H29" s="170">
        <f>$AO29*'Sam-Pojazdy-WSAD'!I29</f>
        <v>1059319.8267999999</v>
      </c>
      <c r="I29" s="171">
        <f>G29*'Wskazniki emisji paliw'!L$18</f>
        <v>821.42071076142815</v>
      </c>
      <c r="J29" s="169">
        <f>$AO29*'Sam-Pojazdy-WSAD'!L29</f>
        <v>0</v>
      </c>
      <c r="K29" s="170">
        <f>$AO29*'Sam-Pojazdy-WSAD'!M29</f>
        <v>0</v>
      </c>
      <c r="L29" s="171">
        <f>J29*'Wskazniki emisji paliw'!$L$28</f>
        <v>0</v>
      </c>
      <c r="M29" s="169">
        <f>$AO29*'Sam-Pojazdy-WSAD'!O29</f>
        <v>0</v>
      </c>
      <c r="N29" s="170">
        <f>$AO29*'Sam-Pojazdy-WSAD'!P29</f>
        <v>0</v>
      </c>
      <c r="O29" s="171">
        <f>M29*'Wskazniki emisji paliw'!M$29</f>
        <v>0</v>
      </c>
      <c r="P29" s="169">
        <f>$AO29*'Sam-Pojazdy-WSAD'!R29</f>
        <v>0</v>
      </c>
      <c r="Q29" s="170">
        <f>$AO29*'Sam-Pojazdy-WSAD'!S29</f>
        <v>0</v>
      </c>
      <c r="R29" s="171">
        <f>P29*'Wskazniki emisji paliw'!L$21</f>
        <v>0</v>
      </c>
      <c r="S29" s="169">
        <f>$AO29*'Sam-Pojazdy-WSAD'!U29</f>
        <v>0</v>
      </c>
      <c r="T29" s="170">
        <f>$AO29*'Sam-Pojazdy-WSAD'!V29</f>
        <v>0</v>
      </c>
      <c r="U29" s="171">
        <f>S29*'Wskazniki emisji paliw'!L$19*(1-U$6)</f>
        <v>0</v>
      </c>
      <c r="V29" s="169">
        <f>$AO29*'Sam-Pojazdy-WSAD'!X29</f>
        <v>0</v>
      </c>
      <c r="W29" s="170">
        <f>$AO29*'Sam-Pojazdy-WSAD'!Y29</f>
        <v>0</v>
      </c>
      <c r="X29" s="171">
        <f>V29*'Wskazniki emisji paliw'!L$18*(1-X$6)</f>
        <v>0</v>
      </c>
      <c r="Y29" s="169">
        <f>$AO29*'Sam-Pojazdy-WSAD'!AA29</f>
        <v>0</v>
      </c>
      <c r="Z29" s="170">
        <f>$AO29*'Sam-Pojazdy-WSAD'!AB29</f>
        <v>0</v>
      </c>
      <c r="AA29" s="171">
        <f>Y29*(HLOOKUP(Ogolne!$D$6,'Wskazniki emisji elektrycznosc'!$B$8:$G$29,Ogolne!$E$7,TRUE))/1000</f>
        <v>0</v>
      </c>
      <c r="AB29" s="145"/>
      <c r="AC29" s="167" t="str">
        <f t="shared" si="8"/>
        <v>Miejskie Wodociągi i Kanalizacja w Bydgoszczy Sp. z o.o.  - inne</v>
      </c>
      <c r="AD29" s="167" t="str">
        <f t="shared" si="8"/>
        <v>MWIK</v>
      </c>
      <c r="AE29" s="172">
        <f>'Sam-Pojazdy-WSAD'!AG29</f>
        <v>41</v>
      </c>
      <c r="AF29" s="172">
        <f>'Sam-Pojazdy-WSAD'!AH29</f>
        <v>0</v>
      </c>
      <c r="AG29" s="170">
        <f t="shared" si="9"/>
        <v>1059319.8267999999</v>
      </c>
      <c r="AH29" s="171">
        <f t="shared" si="9"/>
        <v>821.42071076142815</v>
      </c>
      <c r="AI29" s="173" t="str">
        <f t="shared" si="4"/>
        <v/>
      </c>
      <c r="AJ29" s="174">
        <f t="shared" si="5"/>
        <v>25837.06894634146</v>
      </c>
      <c r="AK29" s="175" t="str">
        <f t="shared" si="6"/>
        <v/>
      </c>
      <c r="AL29" s="176">
        <f t="shared" si="7"/>
        <v>20.034651481986053</v>
      </c>
      <c r="AM29" s="177"/>
      <c r="AN29" s="718">
        <f>'Sam-Pojazdy-WSAD'!AP32</f>
        <v>0</v>
      </c>
      <c r="AO29" s="720">
        <v>1</v>
      </c>
      <c r="AP29" s="177"/>
      <c r="AQ29" s="177"/>
      <c r="AR29" s="177"/>
      <c r="AS29" s="177"/>
      <c r="AT29" s="177"/>
      <c r="AU29" s="177"/>
      <c r="AV29" s="177"/>
      <c r="AW29" s="177"/>
      <c r="AX29" s="177"/>
      <c r="AY29" s="177"/>
      <c r="AZ29" s="177"/>
      <c r="BA29" s="177"/>
    </row>
    <row r="30" spans="1:53" s="178" customFormat="1">
      <c r="A30" s="145"/>
      <c r="B30" s="713" t="str">
        <f>'Sam-Pojazdy-WSAD'!B30</f>
        <v>Miejskie Zakłady Komunikacyjne Sp. z o.o. w Bydgoszczy</v>
      </c>
      <c r="C30" s="726" t="str">
        <f>'Sam-Pojazdy-WSAD'!C30</f>
        <v>MZK</v>
      </c>
      <c r="D30" s="169">
        <f>$AO30*'Sam-Pojazdy-WSAD'!D30</f>
        <v>7696</v>
      </c>
      <c r="E30" s="170">
        <f>$AO30*'Sam-Pojazdy-WSAD'!E30</f>
        <v>29106.76</v>
      </c>
      <c r="F30" s="171">
        <f>D30*'Wskazniki emisji paliw'!L$19</f>
        <v>18.459650227200001</v>
      </c>
      <c r="G30" s="169">
        <f>$AO30*'Sam-Pojazdy-WSAD'!H30</f>
        <v>129748</v>
      </c>
      <c r="H30" s="170">
        <f>$AO30*'Sam-Pojazdy-WSAD'!I30</f>
        <v>445326.84</v>
      </c>
      <c r="I30" s="171">
        <f>G30*'Wskazniki emisji paliw'!L$18</f>
        <v>347.36454308376227</v>
      </c>
      <c r="J30" s="169">
        <f>$AO30*'Sam-Pojazdy-WSAD'!L30</f>
        <v>0</v>
      </c>
      <c r="K30" s="170">
        <f>$AO30*'Sam-Pojazdy-WSAD'!M30</f>
        <v>0</v>
      </c>
      <c r="L30" s="171">
        <f>J30*'Wskazniki emisji paliw'!$L$28</f>
        <v>0</v>
      </c>
      <c r="M30" s="169">
        <f>$AO30*'Sam-Pojazdy-WSAD'!O30</f>
        <v>0</v>
      </c>
      <c r="N30" s="170">
        <f>$AO30*'Sam-Pojazdy-WSAD'!P30</f>
        <v>0</v>
      </c>
      <c r="O30" s="171">
        <f>M30*'Wskazniki emisji paliw'!M$29</f>
        <v>0</v>
      </c>
      <c r="P30" s="169">
        <f>$AO30*'Sam-Pojazdy-WSAD'!R30</f>
        <v>0</v>
      </c>
      <c r="Q30" s="170">
        <f>$AO30*'Sam-Pojazdy-WSAD'!S30</f>
        <v>0</v>
      </c>
      <c r="R30" s="171">
        <f>P30*'Wskazniki emisji paliw'!L$21</f>
        <v>0</v>
      </c>
      <c r="S30" s="169">
        <f>$AO30*'Sam-Pojazdy-WSAD'!U30</f>
        <v>0</v>
      </c>
      <c r="T30" s="170">
        <f>$AO30*'Sam-Pojazdy-WSAD'!V30</f>
        <v>0</v>
      </c>
      <c r="U30" s="171">
        <f>S30*'Wskazniki emisji paliw'!L$19*(1-U$6)</f>
        <v>0</v>
      </c>
      <c r="V30" s="169">
        <f>$AO30*'Sam-Pojazdy-WSAD'!X30</f>
        <v>0</v>
      </c>
      <c r="W30" s="170">
        <f>$AO30*'Sam-Pojazdy-WSAD'!Y30</f>
        <v>0</v>
      </c>
      <c r="X30" s="171">
        <f>V30*'Wskazniki emisji paliw'!L$18*(1-X$6)</f>
        <v>0</v>
      </c>
      <c r="Y30" s="169">
        <f>$AO30*'Sam-Pojazdy-WSAD'!AA30</f>
        <v>0</v>
      </c>
      <c r="Z30" s="170">
        <f>$AO30*'Sam-Pojazdy-WSAD'!AB30</f>
        <v>0</v>
      </c>
      <c r="AA30" s="171">
        <f>Y30*(HLOOKUP(Ogolne!$D$6,'Wskazniki emisji elektrycznosc'!$B$8:$G$29,Ogolne!$E$7,TRUE))/1000</f>
        <v>0</v>
      </c>
      <c r="AB30" s="145"/>
      <c r="AC30" s="167" t="str">
        <f t="shared" si="8"/>
        <v>Miejskie Zakłady Komunikacyjne Sp. z o.o. w Bydgoszczy</v>
      </c>
      <c r="AD30" s="167" t="str">
        <f t="shared" si="8"/>
        <v>MZK</v>
      </c>
      <c r="AE30" s="172">
        <f>'Sam-Pojazdy-WSAD'!AG30</f>
        <v>34</v>
      </c>
      <c r="AF30" s="172">
        <f>'Sam-Pojazdy-WSAD'!AH30</f>
        <v>494357</v>
      </c>
      <c r="AG30" s="170">
        <f t="shared" si="9"/>
        <v>474433.60000000003</v>
      </c>
      <c r="AH30" s="171">
        <f t="shared" si="9"/>
        <v>365.8241933109623</v>
      </c>
      <c r="AI30" s="173">
        <f t="shared" si="4"/>
        <v>0.95969835564177308</v>
      </c>
      <c r="AJ30" s="174">
        <f t="shared" si="5"/>
        <v>13953.929411764708</v>
      </c>
      <c r="AK30" s="175">
        <f t="shared" si="6"/>
        <v>7.4000002692580934E-4</v>
      </c>
      <c r="AL30" s="176">
        <f t="shared" si="7"/>
        <v>10.759535097381244</v>
      </c>
      <c r="AM30" s="177"/>
      <c r="AN30" s="718">
        <f>'Sam-Pojazdy-WSAD'!AP35</f>
        <v>0</v>
      </c>
      <c r="AO30" s="720">
        <v>1</v>
      </c>
      <c r="AP30" s="177"/>
      <c r="AQ30" s="177"/>
      <c r="AR30" s="177"/>
      <c r="AS30" s="177"/>
      <c r="AT30" s="177"/>
      <c r="AU30" s="177"/>
      <c r="AV30" s="177"/>
      <c r="AW30" s="177"/>
      <c r="AX30" s="177"/>
      <c r="AY30" s="177"/>
      <c r="AZ30" s="177"/>
      <c r="BA30" s="177"/>
    </row>
    <row r="31" spans="1:53" s="178" customFormat="1">
      <c r="A31" s="145"/>
      <c r="B31" s="713" t="str">
        <f>'Sam-Pojazdy-WSAD'!B31</f>
        <v>Miejskie Zakłady Komunikacyjne Sp. z o.o. w Bydgoszczy - autobusy</v>
      </c>
      <c r="C31" s="726" t="str">
        <f>'Sam-Pojazdy-WSAD'!C31</f>
        <v>MZK</v>
      </c>
      <c r="D31" s="169">
        <f>$AO31*'Sam-Pojazdy-WSAD'!D31</f>
        <v>0</v>
      </c>
      <c r="E31" s="170">
        <f>$AO31*'Sam-Pojazdy-WSAD'!E31</f>
        <v>0</v>
      </c>
      <c r="F31" s="171">
        <f>D31*'Wskazniki emisji paliw'!L$19</f>
        <v>0</v>
      </c>
      <c r="G31" s="169">
        <f>$AO31*'Sam-Pojazdy-WSAD'!H31</f>
        <v>6711781</v>
      </c>
      <c r="H31" s="170">
        <f>$AO31*'Sam-Pojazdy-WSAD'!I31</f>
        <v>23142525.260000002</v>
      </c>
      <c r="I31" s="171">
        <f>G31*'Wskazniki emisji paliw'!L$18</f>
        <v>17968.945496988603</v>
      </c>
      <c r="J31" s="169">
        <f>$AO31*'Sam-Pojazdy-WSAD'!L31</f>
        <v>0</v>
      </c>
      <c r="K31" s="170">
        <f>$AO31*'Sam-Pojazdy-WSAD'!M31</f>
        <v>0</v>
      </c>
      <c r="L31" s="171">
        <f>J31*'Wskazniki emisji paliw'!$L$28</f>
        <v>0</v>
      </c>
      <c r="M31" s="169">
        <f>$AO31*'Sam-Pojazdy-WSAD'!O31</f>
        <v>0</v>
      </c>
      <c r="N31" s="170">
        <f>$AO31*'Sam-Pojazdy-WSAD'!P31</f>
        <v>0</v>
      </c>
      <c r="O31" s="171">
        <f>M31*'Wskazniki emisji paliw'!M$29</f>
        <v>0</v>
      </c>
      <c r="P31" s="169">
        <f>$AO31*'Sam-Pojazdy-WSAD'!R31</f>
        <v>0</v>
      </c>
      <c r="Q31" s="170">
        <f>$AO31*'Sam-Pojazdy-WSAD'!S31</f>
        <v>0</v>
      </c>
      <c r="R31" s="171">
        <f>P31*'Wskazniki emisji paliw'!L$21</f>
        <v>0</v>
      </c>
      <c r="S31" s="169">
        <f>$AO31*'Sam-Pojazdy-WSAD'!U31</f>
        <v>0</v>
      </c>
      <c r="T31" s="170">
        <f>$AO31*'Sam-Pojazdy-WSAD'!V31</f>
        <v>0</v>
      </c>
      <c r="U31" s="171">
        <f>S31*'Wskazniki emisji paliw'!L$19*(1-U$6)</f>
        <v>0</v>
      </c>
      <c r="V31" s="169">
        <f>$AO31*'Sam-Pojazdy-WSAD'!X31</f>
        <v>0</v>
      </c>
      <c r="W31" s="170">
        <f>$AO31*'Sam-Pojazdy-WSAD'!Y31</f>
        <v>0</v>
      </c>
      <c r="X31" s="171">
        <f>V31*'Wskazniki emisji paliw'!L$18*(1-X$6)</f>
        <v>0</v>
      </c>
      <c r="Y31" s="169">
        <f>$AO31*'Sam-Pojazdy-WSAD'!AA31</f>
        <v>0</v>
      </c>
      <c r="Z31" s="170">
        <f>$AO31*'Sam-Pojazdy-WSAD'!AB31</f>
        <v>0</v>
      </c>
      <c r="AA31" s="171">
        <f>Y31*(HLOOKUP(Ogolne!$D$6,'Wskazniki emisji elektrycznosc'!$B$8:$G$29,Ogolne!$E$7,TRUE))/1000</f>
        <v>0</v>
      </c>
      <c r="AB31" s="145"/>
      <c r="AC31" s="167" t="str">
        <f t="shared" si="8"/>
        <v>Miejskie Zakłady Komunikacyjne Sp. z o.o. w Bydgoszczy - autobusy</v>
      </c>
      <c r="AD31" s="167" t="str">
        <f t="shared" si="8"/>
        <v>MZK</v>
      </c>
      <c r="AE31" s="172">
        <f>'Sam-Pojazdy-WSAD'!AG31</f>
        <v>199</v>
      </c>
      <c r="AF31" s="172">
        <f>'Sam-Pojazdy-WSAD'!AH31</f>
        <v>14371100</v>
      </c>
      <c r="AG31" s="170">
        <f t="shared" si="9"/>
        <v>23142525.260000002</v>
      </c>
      <c r="AH31" s="171">
        <f t="shared" si="9"/>
        <v>17968.945496988603</v>
      </c>
      <c r="AI31" s="173">
        <f t="shared" si="4"/>
        <v>1.6103516961123368</v>
      </c>
      <c r="AJ31" s="174">
        <f t="shared" si="5"/>
        <v>116294.09678391961</v>
      </c>
      <c r="AK31" s="175">
        <f t="shared" si="6"/>
        <v>1.2503528259485079E-3</v>
      </c>
      <c r="AL31" s="176">
        <f t="shared" si="7"/>
        <v>90.296208527580916</v>
      </c>
      <c r="AM31" s="177"/>
      <c r="AN31" s="718">
        <f>'Sam-Pojazdy-WSAD'!AP37</f>
        <v>0</v>
      </c>
      <c r="AO31" s="720">
        <v>1</v>
      </c>
      <c r="AP31" s="177"/>
      <c r="AQ31" s="177"/>
      <c r="AR31" s="177"/>
      <c r="AS31" s="177"/>
      <c r="AT31" s="177"/>
      <c r="AU31" s="177"/>
      <c r="AV31" s="177"/>
      <c r="AW31" s="177"/>
      <c r="AX31" s="177"/>
      <c r="AY31" s="177"/>
      <c r="AZ31" s="177"/>
      <c r="BA31" s="177"/>
    </row>
    <row r="32" spans="1:53" s="178" customFormat="1">
      <c r="A32" s="145"/>
      <c r="B32" s="713" t="str">
        <f>'Sam-Pojazdy-WSAD'!B32</f>
        <v>Miejskie Zakłady Komunikacyjne Sp. z o.o. w Bydgoszczy - tramwaje</v>
      </c>
      <c r="C32" s="726" t="str">
        <f>'Sam-Pojazdy-WSAD'!C32</f>
        <v>MZK</v>
      </c>
      <c r="D32" s="169">
        <f>$AO32*'Sam-Pojazdy-WSAD'!D32</f>
        <v>0</v>
      </c>
      <c r="E32" s="170">
        <f>$AO32*'Sam-Pojazdy-WSAD'!E32</f>
        <v>0</v>
      </c>
      <c r="F32" s="171">
        <f>D32*'Wskazniki emisji paliw'!L$19</f>
        <v>0</v>
      </c>
      <c r="G32" s="169">
        <f>$AO32*'Sam-Pojazdy-WSAD'!H32</f>
        <v>0</v>
      </c>
      <c r="H32" s="170">
        <f>$AO32*'Sam-Pojazdy-WSAD'!I32</f>
        <v>0</v>
      </c>
      <c r="I32" s="171">
        <f>G32*'Wskazniki emisji paliw'!L$18</f>
        <v>0</v>
      </c>
      <c r="J32" s="169">
        <f>$AO32*'Sam-Pojazdy-WSAD'!L32</f>
        <v>0</v>
      </c>
      <c r="K32" s="170">
        <f>$AO32*'Sam-Pojazdy-WSAD'!M32</f>
        <v>0</v>
      </c>
      <c r="L32" s="171">
        <f>J32*'Wskazniki emisji paliw'!$L$28</f>
        <v>0</v>
      </c>
      <c r="M32" s="169">
        <f>$AO32*'Sam-Pojazdy-WSAD'!O32</f>
        <v>0</v>
      </c>
      <c r="N32" s="170">
        <f>$AO32*'Sam-Pojazdy-WSAD'!P32</f>
        <v>0</v>
      </c>
      <c r="O32" s="171">
        <f>M32*'Wskazniki emisji paliw'!M$29</f>
        <v>0</v>
      </c>
      <c r="P32" s="169">
        <f>$AO32*'Sam-Pojazdy-WSAD'!R32</f>
        <v>0</v>
      </c>
      <c r="Q32" s="170">
        <f>$AO32*'Sam-Pojazdy-WSAD'!S32</f>
        <v>0</v>
      </c>
      <c r="R32" s="171">
        <f>P32*'Wskazniki emisji paliw'!L$21</f>
        <v>0</v>
      </c>
      <c r="S32" s="169">
        <f>$AO32*'Sam-Pojazdy-WSAD'!U32</f>
        <v>0</v>
      </c>
      <c r="T32" s="170">
        <f>$AO32*'Sam-Pojazdy-WSAD'!V32</f>
        <v>0</v>
      </c>
      <c r="U32" s="171">
        <f>S32*'Wskazniki emisji paliw'!L$19*(1-U$6)</f>
        <v>0</v>
      </c>
      <c r="V32" s="169">
        <f>$AO32*'Sam-Pojazdy-WSAD'!X32</f>
        <v>0</v>
      </c>
      <c r="W32" s="170">
        <f>$AO32*'Sam-Pojazdy-WSAD'!Y32</f>
        <v>0</v>
      </c>
      <c r="X32" s="171">
        <f>V32*'Wskazniki emisji paliw'!L$18*(1-X$6)</f>
        <v>0</v>
      </c>
      <c r="Y32" s="169">
        <f>$AO32*'Sam-Pojazdy-WSAD'!AA32</f>
        <v>17488815</v>
      </c>
      <c r="Z32" s="170">
        <f>$AO32*'Sam-Pojazdy-WSAD'!AB32</f>
        <v>5332834.08</v>
      </c>
      <c r="AA32" s="171">
        <f>Y32*(HLOOKUP(Ogolne!$D$6,'Wskazniki emisji elektrycznosc'!$B$8:$G$29,Ogolne!$E$7,TRUE))/1000</f>
        <v>17174.016329999999</v>
      </c>
      <c r="AB32" s="145"/>
      <c r="AC32" s="167" t="str">
        <f t="shared" si="8"/>
        <v>Miejskie Zakłady Komunikacyjne Sp. z o.o. w Bydgoszczy - tramwaje</v>
      </c>
      <c r="AD32" s="167" t="str">
        <f t="shared" si="8"/>
        <v>MZK</v>
      </c>
      <c r="AE32" s="172">
        <f>'Sam-Pojazdy-WSAD'!AG32</f>
        <v>114</v>
      </c>
      <c r="AF32" s="172">
        <f>'Sam-Pojazdy-WSAD'!AH32</f>
        <v>5999987.0999999996</v>
      </c>
      <c r="AG32" s="170">
        <f t="shared" si="9"/>
        <v>5332834.08</v>
      </c>
      <c r="AH32" s="171">
        <f t="shared" si="9"/>
        <v>17174.016329999999</v>
      </c>
      <c r="AI32" s="173">
        <f t="shared" si="4"/>
        <v>0.88880759093632056</v>
      </c>
      <c r="AJ32" s="174">
        <f t="shared" si="5"/>
        <v>46779.246315789474</v>
      </c>
      <c r="AK32" s="175">
        <f t="shared" si="6"/>
        <v>2.8623422090357496E-3</v>
      </c>
      <c r="AL32" s="176">
        <f t="shared" si="7"/>
        <v>150.64926605263156</v>
      </c>
      <c r="AM32" s="177"/>
      <c r="AN32" s="718">
        <f>'Sam-Pojazdy-WSAD'!AP39</f>
        <v>0</v>
      </c>
      <c r="AO32" s="720">
        <v>1</v>
      </c>
      <c r="AP32" s="177"/>
      <c r="AQ32" s="177"/>
      <c r="AR32" s="177"/>
      <c r="AS32" s="177"/>
      <c r="AT32" s="177"/>
      <c r="AU32" s="177"/>
      <c r="AV32" s="177"/>
      <c r="AW32" s="177"/>
      <c r="AX32" s="177"/>
      <c r="AY32" s="177"/>
      <c r="AZ32" s="177"/>
      <c r="BA32" s="177"/>
    </row>
    <row r="33" spans="1:53" s="178" customFormat="1">
      <c r="A33" s="145"/>
      <c r="B33" s="732" t="str">
        <f>'Sam-Pojazdy-WSAD'!B33</f>
        <v>Międzygminny Kompleks Unieszkodliwiania Odpadów ProNatura</v>
      </c>
      <c r="C33" s="733" t="str">
        <f>'Sam-Pojazdy-WSAD'!C33</f>
        <v>MKUO</v>
      </c>
      <c r="D33" s="169">
        <f>$AO33*'Sam-Pojazdy-WSAD'!D33</f>
        <v>0</v>
      </c>
      <c r="E33" s="170">
        <f>$AO33*'Sam-Pojazdy-WSAD'!E33</f>
        <v>0</v>
      </c>
      <c r="F33" s="171">
        <f>D33*'Wskazniki emisji paliw'!L$19</f>
        <v>0</v>
      </c>
      <c r="G33" s="169">
        <f>$AO33*'Sam-Pojazdy-WSAD'!H33</f>
        <v>0</v>
      </c>
      <c r="H33" s="170">
        <f>$AO33*'Sam-Pojazdy-WSAD'!I33</f>
        <v>0</v>
      </c>
      <c r="I33" s="171">
        <f>G33*'Wskazniki emisji paliw'!L$18</f>
        <v>0</v>
      </c>
      <c r="J33" s="169">
        <f>$AO33*'Sam-Pojazdy-WSAD'!L33</f>
        <v>0</v>
      </c>
      <c r="K33" s="170">
        <f>$AO33*'Sam-Pojazdy-WSAD'!M33</f>
        <v>0</v>
      </c>
      <c r="L33" s="171">
        <f>J33*'Wskazniki emisji paliw'!$L$28</f>
        <v>0</v>
      </c>
      <c r="M33" s="169">
        <f>$AO33*'Sam-Pojazdy-WSAD'!O33</f>
        <v>0</v>
      </c>
      <c r="N33" s="170">
        <f>$AO33*'Sam-Pojazdy-WSAD'!P33</f>
        <v>0</v>
      </c>
      <c r="O33" s="171">
        <f>M33*'Wskazniki emisji paliw'!M$29</f>
        <v>0</v>
      </c>
      <c r="P33" s="169">
        <f>$AO33*'Sam-Pojazdy-WSAD'!R33</f>
        <v>0</v>
      </c>
      <c r="Q33" s="170">
        <f>$AO33*'Sam-Pojazdy-WSAD'!S33</f>
        <v>0</v>
      </c>
      <c r="R33" s="171">
        <f>P33*'Wskazniki emisji paliw'!L$21</f>
        <v>0</v>
      </c>
      <c r="S33" s="169">
        <f>$AO33*'Sam-Pojazdy-WSAD'!U33</f>
        <v>0</v>
      </c>
      <c r="T33" s="170">
        <f>$AO33*'Sam-Pojazdy-WSAD'!V33</f>
        <v>0</v>
      </c>
      <c r="U33" s="171">
        <f>S33*'Wskazniki emisji paliw'!L$19*(1-U$6)</f>
        <v>0</v>
      </c>
      <c r="V33" s="169">
        <f>$AO33*'Sam-Pojazdy-WSAD'!X33</f>
        <v>0</v>
      </c>
      <c r="W33" s="170">
        <f>$AO33*'Sam-Pojazdy-WSAD'!Y33</f>
        <v>0</v>
      </c>
      <c r="X33" s="171">
        <f>V33*'Wskazniki emisji paliw'!L$18*(1-X$6)</f>
        <v>0</v>
      </c>
      <c r="Y33" s="169">
        <f>$AO33*'Sam-Pojazdy-WSAD'!AA33</f>
        <v>0</v>
      </c>
      <c r="Z33" s="170">
        <f>$AO33*'Sam-Pojazdy-WSAD'!AB33</f>
        <v>0</v>
      </c>
      <c r="AA33" s="171">
        <f>Y33*(HLOOKUP(Ogolne!$D$6,'Wskazniki emisji elektrycznosc'!$B$8:$G$29,Ogolne!$E$7,TRUE))/1000</f>
        <v>0</v>
      </c>
      <c r="AB33" s="145"/>
      <c r="AC33" s="167" t="str">
        <f t="shared" si="8"/>
        <v>Międzygminny Kompleks Unieszkodliwiania Odpadów ProNatura</v>
      </c>
      <c r="AD33" s="167" t="str">
        <f t="shared" si="8"/>
        <v>MKUO</v>
      </c>
      <c r="AE33" s="172">
        <f>'Sam-Pojazdy-WSAD'!AG33</f>
        <v>0</v>
      </c>
      <c r="AF33" s="172">
        <f>'Sam-Pojazdy-WSAD'!AH33</f>
        <v>0</v>
      </c>
      <c r="AG33" s="170">
        <f t="shared" si="9"/>
        <v>0</v>
      </c>
      <c r="AH33" s="171">
        <f t="shared" si="9"/>
        <v>0</v>
      </c>
      <c r="AI33" s="173" t="str">
        <f t="shared" si="4"/>
        <v/>
      </c>
      <c r="AJ33" s="174" t="str">
        <f t="shared" si="5"/>
        <v/>
      </c>
      <c r="AK33" s="175" t="str">
        <f t="shared" si="6"/>
        <v/>
      </c>
      <c r="AL33" s="176" t="str">
        <f t="shared" si="7"/>
        <v/>
      </c>
      <c r="AM33" s="177"/>
      <c r="AN33" s="718">
        <f>'Sam-Pojazdy-WSAD'!AP40</f>
        <v>0</v>
      </c>
      <c r="AO33" s="720">
        <v>0.5</v>
      </c>
      <c r="AP33" s="177"/>
      <c r="AQ33" s="177"/>
      <c r="AR33" s="177"/>
      <c r="AS33" s="177"/>
      <c r="AT33" s="177"/>
      <c r="AU33" s="177"/>
      <c r="AV33" s="177"/>
      <c r="AW33" s="177"/>
      <c r="AX33" s="177"/>
      <c r="AY33" s="177"/>
      <c r="AZ33" s="177"/>
      <c r="BA33" s="177"/>
    </row>
    <row r="34" spans="1:53" s="178" customFormat="1">
      <c r="A34" s="145"/>
      <c r="B34" s="732" t="str">
        <f>'Sam-Pojazdy-WSAD'!B34</f>
        <v>Międzygminny Kompleks Unieszkodliwiania Odpadów ProNatura - inne</v>
      </c>
      <c r="C34" s="733" t="str">
        <f>'Sam-Pojazdy-WSAD'!C34</f>
        <v>MKUO</v>
      </c>
      <c r="D34" s="169">
        <f>$AO34*'Sam-Pojazdy-WSAD'!D34</f>
        <v>0</v>
      </c>
      <c r="E34" s="170">
        <f>$AO34*'Sam-Pojazdy-WSAD'!E34</f>
        <v>0</v>
      </c>
      <c r="F34" s="171">
        <f>D34*'Wskazniki emisji paliw'!L$19</f>
        <v>0</v>
      </c>
      <c r="G34" s="169">
        <f>$AO34*'Sam-Pojazdy-WSAD'!H34</f>
        <v>0</v>
      </c>
      <c r="H34" s="170">
        <f>$AO34*'Sam-Pojazdy-WSAD'!I34</f>
        <v>0</v>
      </c>
      <c r="I34" s="171">
        <f>G34*'Wskazniki emisji paliw'!L$18</f>
        <v>0</v>
      </c>
      <c r="J34" s="169">
        <f>$AO34*'Sam-Pojazdy-WSAD'!L34</f>
        <v>0</v>
      </c>
      <c r="K34" s="170">
        <f>$AO34*'Sam-Pojazdy-WSAD'!M34</f>
        <v>0</v>
      </c>
      <c r="L34" s="171">
        <f>J34*'Wskazniki emisji paliw'!$L$28</f>
        <v>0</v>
      </c>
      <c r="M34" s="169">
        <f>$AO34*'Sam-Pojazdy-WSAD'!O34</f>
        <v>0</v>
      </c>
      <c r="N34" s="170">
        <f>$AO34*'Sam-Pojazdy-WSAD'!P34</f>
        <v>0</v>
      </c>
      <c r="O34" s="171">
        <f>M34*'Wskazniki emisji paliw'!M$29</f>
        <v>0</v>
      </c>
      <c r="P34" s="169">
        <f>$AO34*'Sam-Pojazdy-WSAD'!R34</f>
        <v>0</v>
      </c>
      <c r="Q34" s="170">
        <f>$AO34*'Sam-Pojazdy-WSAD'!S34</f>
        <v>0</v>
      </c>
      <c r="R34" s="171">
        <f>P34*'Wskazniki emisji paliw'!L$21</f>
        <v>0</v>
      </c>
      <c r="S34" s="169">
        <f>$AO34*'Sam-Pojazdy-WSAD'!U34</f>
        <v>0</v>
      </c>
      <c r="T34" s="170">
        <f>$AO34*'Sam-Pojazdy-WSAD'!V34</f>
        <v>0</v>
      </c>
      <c r="U34" s="171">
        <f>S34*'Wskazniki emisji paliw'!L$19*(1-U$6)</f>
        <v>0</v>
      </c>
      <c r="V34" s="169">
        <f>$AO34*'Sam-Pojazdy-WSAD'!X34</f>
        <v>0</v>
      </c>
      <c r="W34" s="170">
        <f>$AO34*'Sam-Pojazdy-WSAD'!Y34</f>
        <v>0</v>
      </c>
      <c r="X34" s="171">
        <f>V34*'Wskazniki emisji paliw'!L$18*(1-X$6)</f>
        <v>0</v>
      </c>
      <c r="Y34" s="169">
        <f>$AO34*'Sam-Pojazdy-WSAD'!AA34</f>
        <v>0</v>
      </c>
      <c r="Z34" s="170">
        <f>$AO34*'Sam-Pojazdy-WSAD'!AB34</f>
        <v>0</v>
      </c>
      <c r="AA34" s="171">
        <f>Y34*(HLOOKUP(Ogolne!$D$6,'Wskazniki emisji elektrycznosc'!$B$8:$G$29,Ogolne!$E$7,TRUE))/1000</f>
        <v>0</v>
      </c>
      <c r="AB34" s="145"/>
      <c r="AC34" s="167" t="str">
        <f t="shared" si="8"/>
        <v>Międzygminny Kompleks Unieszkodliwiania Odpadów ProNatura - inne</v>
      </c>
      <c r="AD34" s="167" t="str">
        <f t="shared" si="8"/>
        <v>MKUO</v>
      </c>
      <c r="AE34" s="172">
        <f>'Sam-Pojazdy-WSAD'!AG34</f>
        <v>0</v>
      </c>
      <c r="AF34" s="172">
        <f>'Sam-Pojazdy-WSAD'!AH34</f>
        <v>0</v>
      </c>
      <c r="AG34" s="170">
        <f t="shared" si="9"/>
        <v>0</v>
      </c>
      <c r="AH34" s="171">
        <f t="shared" si="9"/>
        <v>0</v>
      </c>
      <c r="AI34" s="173" t="str">
        <f t="shared" si="4"/>
        <v/>
      </c>
      <c r="AJ34" s="174" t="str">
        <f t="shared" si="5"/>
        <v/>
      </c>
      <c r="AK34" s="175" t="str">
        <f t="shared" si="6"/>
        <v/>
      </c>
      <c r="AL34" s="176" t="str">
        <f t="shared" si="7"/>
        <v/>
      </c>
      <c r="AM34" s="177"/>
      <c r="AN34" s="718">
        <f>'Sam-Pojazdy-WSAD'!AP41</f>
        <v>0</v>
      </c>
      <c r="AO34" s="720">
        <v>0.5</v>
      </c>
      <c r="AP34" s="177"/>
      <c r="AQ34" s="177"/>
      <c r="AR34" s="177"/>
      <c r="AS34" s="177"/>
      <c r="AT34" s="177"/>
      <c r="AU34" s="177"/>
      <c r="AV34" s="177"/>
      <c r="AW34" s="177"/>
      <c r="AX34" s="177"/>
      <c r="AY34" s="177"/>
      <c r="AZ34" s="177"/>
      <c r="BA34" s="177"/>
    </row>
    <row r="35" spans="1:53" s="178" customFormat="1">
      <c r="A35" s="145"/>
      <c r="B35" s="713" t="str">
        <f>'Sam-Pojazdy-WSAD'!B35</f>
        <v>Muzeum Okręgowe im. Leona Wyczółkowskiego w Bydgoszczy</v>
      </c>
      <c r="C35" s="726" t="str">
        <f>'Sam-Pojazdy-WSAD'!C35</f>
        <v>MOLW</v>
      </c>
      <c r="D35" s="169">
        <f>$AO35*'Sam-Pojazdy-WSAD'!D35</f>
        <v>0</v>
      </c>
      <c r="E35" s="170">
        <f>$AO35*'Sam-Pojazdy-WSAD'!E35</f>
        <v>0</v>
      </c>
      <c r="F35" s="171">
        <f>D35*'Wskazniki emisji paliw'!L$19</f>
        <v>0</v>
      </c>
      <c r="G35" s="169">
        <f>$AO35*'Sam-Pojazdy-WSAD'!H35</f>
        <v>0</v>
      </c>
      <c r="H35" s="170">
        <f>$AO35*'Sam-Pojazdy-WSAD'!I35</f>
        <v>0</v>
      </c>
      <c r="I35" s="171">
        <f>G35*'Wskazniki emisji paliw'!L$18</f>
        <v>0</v>
      </c>
      <c r="J35" s="169">
        <f>$AO35*'Sam-Pojazdy-WSAD'!L35</f>
        <v>0</v>
      </c>
      <c r="K35" s="170">
        <f>$AO35*'Sam-Pojazdy-WSAD'!M35</f>
        <v>0</v>
      </c>
      <c r="L35" s="171">
        <f>J35*'Wskazniki emisji paliw'!$L$28</f>
        <v>0</v>
      </c>
      <c r="M35" s="169">
        <f>$AO35*'Sam-Pojazdy-WSAD'!O35</f>
        <v>0</v>
      </c>
      <c r="N35" s="170">
        <f>$AO35*'Sam-Pojazdy-WSAD'!P35</f>
        <v>0</v>
      </c>
      <c r="O35" s="171">
        <f>M35*'Wskazniki emisji paliw'!M$29</f>
        <v>0</v>
      </c>
      <c r="P35" s="169">
        <f>$AO35*'Sam-Pojazdy-WSAD'!R35</f>
        <v>0</v>
      </c>
      <c r="Q35" s="170">
        <f>$AO35*'Sam-Pojazdy-WSAD'!S35</f>
        <v>0</v>
      </c>
      <c r="R35" s="171">
        <f>P35*'Wskazniki emisji paliw'!L$21</f>
        <v>0</v>
      </c>
      <c r="S35" s="169">
        <f>$AO35*'Sam-Pojazdy-WSAD'!U35</f>
        <v>0</v>
      </c>
      <c r="T35" s="170">
        <f>$AO35*'Sam-Pojazdy-WSAD'!V35</f>
        <v>0</v>
      </c>
      <c r="U35" s="171">
        <f>S35*'Wskazniki emisji paliw'!L$19*(1-U$6)</f>
        <v>0</v>
      </c>
      <c r="V35" s="169">
        <f>$AO35*'Sam-Pojazdy-WSAD'!X35</f>
        <v>0</v>
      </c>
      <c r="W35" s="170">
        <f>$AO35*'Sam-Pojazdy-WSAD'!Y35</f>
        <v>0</v>
      </c>
      <c r="X35" s="171">
        <f>V35*'Wskazniki emisji paliw'!L$18*(1-X$6)</f>
        <v>0</v>
      </c>
      <c r="Y35" s="169">
        <f>$AO35*'Sam-Pojazdy-WSAD'!AA35</f>
        <v>0</v>
      </c>
      <c r="Z35" s="170">
        <f>$AO35*'Sam-Pojazdy-WSAD'!AB35</f>
        <v>0</v>
      </c>
      <c r="AA35" s="171">
        <f>Y35*(HLOOKUP(Ogolne!$D$6,'Wskazniki emisji elektrycznosc'!$B$8:$G$29,Ogolne!$E$7,TRUE))/1000</f>
        <v>0</v>
      </c>
      <c r="AB35" s="145"/>
      <c r="AC35" s="167" t="str">
        <f t="shared" si="8"/>
        <v>Muzeum Okręgowe im. Leona Wyczółkowskiego w Bydgoszczy</v>
      </c>
      <c r="AD35" s="167" t="str">
        <f t="shared" si="8"/>
        <v>MOLW</v>
      </c>
      <c r="AE35" s="172">
        <f>'Sam-Pojazdy-WSAD'!AG35</f>
        <v>10</v>
      </c>
      <c r="AF35" s="172">
        <f>'Sam-Pojazdy-WSAD'!AH35</f>
        <v>1925</v>
      </c>
      <c r="AG35" s="170">
        <f t="shared" si="9"/>
        <v>0</v>
      </c>
      <c r="AH35" s="171">
        <f t="shared" si="9"/>
        <v>0</v>
      </c>
      <c r="AI35" s="173">
        <f t="shared" si="4"/>
        <v>0</v>
      </c>
      <c r="AJ35" s="174">
        <f t="shared" si="5"/>
        <v>0</v>
      </c>
      <c r="AK35" s="175">
        <f t="shared" si="6"/>
        <v>0</v>
      </c>
      <c r="AL35" s="176">
        <f t="shared" si="7"/>
        <v>0</v>
      </c>
      <c r="AM35" s="177"/>
      <c r="AN35" s="718">
        <f>'Sam-Pojazdy-WSAD'!AP42</f>
        <v>0</v>
      </c>
      <c r="AO35" s="720">
        <v>1</v>
      </c>
      <c r="AP35" s="177"/>
      <c r="AQ35" s="177"/>
      <c r="AR35" s="177"/>
      <c r="AS35" s="177"/>
      <c r="AT35" s="177"/>
      <c r="AU35" s="177"/>
      <c r="AV35" s="177"/>
      <c r="AW35" s="177"/>
      <c r="AX35" s="177"/>
      <c r="AY35" s="177"/>
      <c r="AZ35" s="177"/>
      <c r="BA35" s="177"/>
    </row>
    <row r="36" spans="1:53" s="178" customFormat="1">
      <c r="A36" s="145"/>
      <c r="B36" s="732" t="str">
        <f>'Sam-Pojazdy-WSAD'!B36</f>
        <v>Port Lotniczy Bydgoszcz S.A.</v>
      </c>
      <c r="C36" s="733" t="str">
        <f>'Sam-Pojazdy-WSAD'!C36</f>
        <v>PLB</v>
      </c>
      <c r="D36" s="169">
        <f>$AO36*'Sam-Pojazdy-WSAD'!D36</f>
        <v>110.08</v>
      </c>
      <c r="E36" s="170">
        <f>$AO36*'Sam-Pojazdy-WSAD'!E36</f>
        <v>461.23520000000002</v>
      </c>
      <c r="F36" s="171">
        <f>D36*'Wskazniki emisji paliw'!L$19</f>
        <v>0.26403824025599998</v>
      </c>
      <c r="G36" s="169">
        <f>$AO36*'Sam-Pojazdy-WSAD'!H36</f>
        <v>451.32799999999997</v>
      </c>
      <c r="H36" s="170">
        <f>$AO36*'Sam-Pojazdy-WSAD'!I36</f>
        <v>1719.5596799999998</v>
      </c>
      <c r="I36" s="171">
        <f>G36*'Wskazniki emisji paliw'!L$18</f>
        <v>1.208306444036966</v>
      </c>
      <c r="J36" s="169">
        <f>$AO36*'Sam-Pojazdy-WSAD'!L36</f>
        <v>0</v>
      </c>
      <c r="K36" s="170">
        <f>$AO36*'Sam-Pojazdy-WSAD'!M36</f>
        <v>0</v>
      </c>
      <c r="L36" s="171">
        <f>J36*'Wskazniki emisji paliw'!$L$28</f>
        <v>0</v>
      </c>
      <c r="M36" s="169">
        <f>$AO36*'Sam-Pojazdy-WSAD'!O36</f>
        <v>0</v>
      </c>
      <c r="N36" s="170">
        <f>$AO36*'Sam-Pojazdy-WSAD'!P36</f>
        <v>0</v>
      </c>
      <c r="O36" s="171">
        <f>M36*'Wskazniki emisji paliw'!M$29</f>
        <v>0</v>
      </c>
      <c r="P36" s="169">
        <f>$AO36*'Sam-Pojazdy-WSAD'!R36</f>
        <v>0</v>
      </c>
      <c r="Q36" s="170">
        <f>$AO36*'Sam-Pojazdy-WSAD'!S36</f>
        <v>0</v>
      </c>
      <c r="R36" s="171">
        <f>P36*'Wskazniki emisji paliw'!L$21</f>
        <v>0</v>
      </c>
      <c r="S36" s="169">
        <f>$AO36*'Sam-Pojazdy-WSAD'!U36</f>
        <v>0</v>
      </c>
      <c r="T36" s="170">
        <f>$AO36*'Sam-Pojazdy-WSAD'!V36</f>
        <v>0</v>
      </c>
      <c r="U36" s="171">
        <f>S36*'Wskazniki emisji paliw'!L$19*(1-U$6)</f>
        <v>0</v>
      </c>
      <c r="V36" s="169">
        <f>$AO36*'Sam-Pojazdy-WSAD'!X36</f>
        <v>0</v>
      </c>
      <c r="W36" s="170">
        <f>$AO36*'Sam-Pojazdy-WSAD'!Y36</f>
        <v>0</v>
      </c>
      <c r="X36" s="171">
        <f>V36*'Wskazniki emisji paliw'!L$18*(1-X$6)</f>
        <v>0</v>
      </c>
      <c r="Y36" s="169">
        <f>$AO36*'Sam-Pojazdy-WSAD'!AA36</f>
        <v>0</v>
      </c>
      <c r="Z36" s="170">
        <f>$AO36*'Sam-Pojazdy-WSAD'!AB36</f>
        <v>0</v>
      </c>
      <c r="AA36" s="171">
        <f>Y36*(HLOOKUP(Ogolne!$D$6,'Wskazniki emisji elektrycznosc'!$B$8:$G$29,Ogolne!$E$7,TRUE))/1000</f>
        <v>0</v>
      </c>
      <c r="AB36" s="145"/>
      <c r="AC36" s="167" t="str">
        <f t="shared" ref="AC36:AD38" si="10">B36</f>
        <v>Port Lotniczy Bydgoszcz S.A.</v>
      </c>
      <c r="AD36" s="167" t="str">
        <f t="shared" si="10"/>
        <v>PLB</v>
      </c>
      <c r="AE36" s="172">
        <f>'Sam-Pojazdy-WSAD'!AG36</f>
        <v>7</v>
      </c>
      <c r="AF36" s="172">
        <f>'Sam-Pojazdy-WSAD'!AH36</f>
        <v>400</v>
      </c>
      <c r="AG36" s="170">
        <f t="shared" ref="AG36:AH38" si="11">E36+H36+K36+N36+Q36+T36+W36+Z36</f>
        <v>2180.7948799999999</v>
      </c>
      <c r="AH36" s="171">
        <f t="shared" si="11"/>
        <v>1.4723446842929659</v>
      </c>
      <c r="AI36" s="173">
        <f t="shared" si="4"/>
        <v>5.4519871999999996</v>
      </c>
      <c r="AJ36" s="174">
        <f t="shared" si="5"/>
        <v>311.5421257142857</v>
      </c>
      <c r="AK36" s="175">
        <f t="shared" si="6"/>
        <v>3.6808617107324149E-3</v>
      </c>
      <c r="AL36" s="176">
        <f t="shared" si="7"/>
        <v>0.21033495489899515</v>
      </c>
      <c r="AM36" s="177"/>
      <c r="AN36" s="718">
        <f>'Sam-Pojazdy-WSAD'!AP43</f>
        <v>0</v>
      </c>
      <c r="AO36" s="720">
        <v>0.5504</v>
      </c>
      <c r="AP36" s="177"/>
      <c r="AQ36" s="177"/>
      <c r="AR36" s="177"/>
      <c r="AS36" s="177"/>
      <c r="AT36" s="177"/>
      <c r="AU36" s="177"/>
      <c r="AV36" s="177"/>
      <c r="AW36" s="177"/>
      <c r="AX36" s="177"/>
      <c r="AY36" s="177"/>
      <c r="AZ36" s="177"/>
      <c r="BA36" s="177"/>
    </row>
    <row r="37" spans="1:53" s="178" customFormat="1">
      <c r="A37" s="145"/>
      <c r="B37" s="732" t="str">
        <f>'Sam-Pojazdy-WSAD'!B37</f>
        <v>Port Lotniczy Bydgoszcz S.A. - inne</v>
      </c>
      <c r="C37" s="733" t="str">
        <f>'Sam-Pojazdy-WSAD'!C37</f>
        <v>PLB</v>
      </c>
      <c r="D37" s="169">
        <f>$AO37*'Sam-Pojazdy-WSAD'!D37</f>
        <v>37.977600000000002</v>
      </c>
      <c r="E37" s="170">
        <f>$AO37*'Sam-Pojazdy-WSAD'!E37</f>
        <v>159.06559999999999</v>
      </c>
      <c r="F37" s="171">
        <f>D37*'Wskazniki emisji paliw'!L$19</f>
        <v>9.1093192888320004E-2</v>
      </c>
      <c r="G37" s="169">
        <f>$AO37*'Sam-Pojazdy-WSAD'!H37</f>
        <v>100.72320000000001</v>
      </c>
      <c r="H37" s="170">
        <f>$AO37*'Sam-Pojazdy-WSAD'!I37</f>
        <v>383.75539200000003</v>
      </c>
      <c r="I37" s="171">
        <f>G37*'Wskazniki emisji paliw'!L$18</f>
        <v>0.26965863324239608</v>
      </c>
      <c r="J37" s="169">
        <f>$AO37*'Sam-Pojazdy-WSAD'!L37</f>
        <v>0</v>
      </c>
      <c r="K37" s="170">
        <f>$AO37*'Sam-Pojazdy-WSAD'!M37</f>
        <v>0</v>
      </c>
      <c r="L37" s="171">
        <f>J37*'Wskazniki emisji paliw'!$L$28</f>
        <v>0</v>
      </c>
      <c r="M37" s="169">
        <f>$AO37*'Sam-Pojazdy-WSAD'!O37</f>
        <v>0</v>
      </c>
      <c r="N37" s="170">
        <f>$AO37*'Sam-Pojazdy-WSAD'!P37</f>
        <v>0</v>
      </c>
      <c r="O37" s="171">
        <f>M37*'Wskazniki emisji paliw'!M$29</f>
        <v>0</v>
      </c>
      <c r="P37" s="169">
        <f>$AO37*'Sam-Pojazdy-WSAD'!R37</f>
        <v>33.574399999999997</v>
      </c>
      <c r="Q37" s="170">
        <f>$AO37*'Sam-Pojazdy-WSAD'!S37</f>
        <v>74.535167999999999</v>
      </c>
      <c r="R37" s="171">
        <f>P37*'Wskazniki emisji paliw'!L$21</f>
        <v>5.6579175987199991E-2</v>
      </c>
      <c r="S37" s="169">
        <f>$AO37*'Sam-Pojazdy-WSAD'!U37</f>
        <v>0</v>
      </c>
      <c r="T37" s="170">
        <f>$AO37*'Sam-Pojazdy-WSAD'!V37</f>
        <v>0</v>
      </c>
      <c r="U37" s="171">
        <f>S37*'Wskazniki emisji paliw'!L$19*(1-U$6)</f>
        <v>0</v>
      </c>
      <c r="V37" s="169">
        <f>$AO37*'Sam-Pojazdy-WSAD'!X37</f>
        <v>0</v>
      </c>
      <c r="W37" s="170">
        <f>$AO37*'Sam-Pojazdy-WSAD'!Y37</f>
        <v>0</v>
      </c>
      <c r="X37" s="171">
        <f>V37*'Wskazniki emisji paliw'!L$18*(1-X$6)</f>
        <v>0</v>
      </c>
      <c r="Y37" s="169">
        <f>$AO37*'Sam-Pojazdy-WSAD'!AA37</f>
        <v>0</v>
      </c>
      <c r="Z37" s="170">
        <f>$AO37*'Sam-Pojazdy-WSAD'!AB37</f>
        <v>0</v>
      </c>
      <c r="AA37" s="171">
        <f>Y37*(HLOOKUP(Ogolne!$D$6,'Wskazniki emisji elektrycznosc'!$B$8:$G$29,Ogolne!$E$7,TRUE))/1000</f>
        <v>0</v>
      </c>
      <c r="AB37" s="145"/>
      <c r="AC37" s="167" t="str">
        <f t="shared" si="10"/>
        <v>Port Lotniczy Bydgoszcz S.A. - inne</v>
      </c>
      <c r="AD37" s="167" t="str">
        <f t="shared" si="10"/>
        <v>PLB</v>
      </c>
      <c r="AE37" s="172">
        <f>'Sam-Pojazdy-WSAD'!AG37</f>
        <v>3</v>
      </c>
      <c r="AF37" s="172">
        <f>'Sam-Pojazdy-WSAD'!AH37</f>
        <v>0</v>
      </c>
      <c r="AG37" s="170">
        <f t="shared" si="11"/>
        <v>617.35616000000005</v>
      </c>
      <c r="AH37" s="171">
        <f t="shared" si="11"/>
        <v>0.41733100211791607</v>
      </c>
      <c r="AI37" s="173" t="str">
        <f t="shared" si="4"/>
        <v/>
      </c>
      <c r="AJ37" s="174">
        <f t="shared" si="5"/>
        <v>205.78538666666668</v>
      </c>
      <c r="AK37" s="175" t="str">
        <f t="shared" si="6"/>
        <v/>
      </c>
      <c r="AL37" s="176">
        <f t="shared" si="7"/>
        <v>0.13911033403930537</v>
      </c>
      <c r="AM37" s="177"/>
      <c r="AN37" s="718">
        <f>'Sam-Pojazdy-WSAD'!AP44</f>
        <v>0</v>
      </c>
      <c r="AO37" s="720">
        <v>0.5504</v>
      </c>
      <c r="AP37" s="177"/>
      <c r="AQ37" s="177"/>
      <c r="AR37" s="177"/>
      <c r="AS37" s="177"/>
      <c r="AT37" s="177"/>
      <c r="AU37" s="177"/>
      <c r="AV37" s="177"/>
      <c r="AW37" s="177"/>
      <c r="AX37" s="177"/>
      <c r="AY37" s="177"/>
      <c r="AZ37" s="177"/>
      <c r="BA37" s="177"/>
    </row>
    <row r="38" spans="1:53" s="178" customFormat="1">
      <c r="A38" s="145"/>
      <c r="B38" s="713" t="str">
        <f>'Sam-Pojazdy-WSAD'!B38</f>
        <v>Powiatowy Urząd Pracy w Bydgoszczy</v>
      </c>
      <c r="C38" s="726" t="str">
        <f>'Sam-Pojazdy-WSAD'!C38</f>
        <v>PUP</v>
      </c>
      <c r="D38" s="169">
        <f>$AO38*'Sam-Pojazdy-WSAD'!D38</f>
        <v>3947</v>
      </c>
      <c r="E38" s="170">
        <f>$AO38*'Sam-Pojazdy-WSAD'!E38</f>
        <v>15476.25</v>
      </c>
      <c r="F38" s="171">
        <f>D38*'Wskazniki emisji paliw'!L$19</f>
        <v>9.4672868304000009</v>
      </c>
      <c r="G38" s="169">
        <f>$AO38*'Sam-Pojazdy-WSAD'!H38</f>
        <v>0</v>
      </c>
      <c r="H38" s="170">
        <f>$AO38*'Sam-Pojazdy-WSAD'!I38</f>
        <v>0</v>
      </c>
      <c r="I38" s="171">
        <f>G38*'Wskazniki emisji paliw'!L$18</f>
        <v>0</v>
      </c>
      <c r="J38" s="169">
        <f>$AO38*'Sam-Pojazdy-WSAD'!L38</f>
        <v>0</v>
      </c>
      <c r="K38" s="170">
        <f>$AO38*'Sam-Pojazdy-WSAD'!M38</f>
        <v>0</v>
      </c>
      <c r="L38" s="171">
        <f>J38*'Wskazniki emisji paliw'!$L$28</f>
        <v>0</v>
      </c>
      <c r="M38" s="169">
        <f>$AO38*'Sam-Pojazdy-WSAD'!O38</f>
        <v>0</v>
      </c>
      <c r="N38" s="170">
        <f>$AO38*'Sam-Pojazdy-WSAD'!P38</f>
        <v>0</v>
      </c>
      <c r="O38" s="171">
        <f>M38*'Wskazniki emisji paliw'!M$29</f>
        <v>0</v>
      </c>
      <c r="P38" s="169">
        <f>$AO38*'Sam-Pojazdy-WSAD'!R38</f>
        <v>0</v>
      </c>
      <c r="Q38" s="170">
        <f>$AO38*'Sam-Pojazdy-WSAD'!S38</f>
        <v>0</v>
      </c>
      <c r="R38" s="171">
        <f>P38*'Wskazniki emisji paliw'!L$21</f>
        <v>0</v>
      </c>
      <c r="S38" s="169">
        <f>$AO38*'Sam-Pojazdy-WSAD'!U38</f>
        <v>0</v>
      </c>
      <c r="T38" s="170">
        <f>$AO38*'Sam-Pojazdy-WSAD'!V38</f>
        <v>0</v>
      </c>
      <c r="U38" s="171">
        <f>S38*'Wskazniki emisji paliw'!L$19*(1-U$6)</f>
        <v>0</v>
      </c>
      <c r="V38" s="169">
        <f>$AO38*'Sam-Pojazdy-WSAD'!X38</f>
        <v>0</v>
      </c>
      <c r="W38" s="170">
        <f>$AO38*'Sam-Pojazdy-WSAD'!Y38</f>
        <v>0</v>
      </c>
      <c r="X38" s="171">
        <f>V38*'Wskazniki emisji paliw'!L$18*(1-X$6)</f>
        <v>0</v>
      </c>
      <c r="Y38" s="169">
        <f>$AO38*'Sam-Pojazdy-WSAD'!AA38</f>
        <v>0</v>
      </c>
      <c r="Z38" s="170">
        <f>$AO38*'Sam-Pojazdy-WSAD'!AB38</f>
        <v>0</v>
      </c>
      <c r="AA38" s="171">
        <f>Y38*(HLOOKUP(Ogolne!$D$6,'Wskazniki emisji elektrycznosc'!$B$8:$G$29,Ogolne!$E$7,TRUE))/1000</f>
        <v>0</v>
      </c>
      <c r="AB38" s="145"/>
      <c r="AC38" s="167" t="str">
        <f t="shared" si="10"/>
        <v>Powiatowy Urząd Pracy w Bydgoszczy</v>
      </c>
      <c r="AD38" s="167" t="str">
        <f t="shared" si="10"/>
        <v>PUP</v>
      </c>
      <c r="AE38" s="172">
        <f>'Sam-Pojazdy-WSAD'!AG38</f>
        <v>0</v>
      </c>
      <c r="AF38" s="172">
        <f>'Sam-Pojazdy-WSAD'!AH38</f>
        <v>0</v>
      </c>
      <c r="AG38" s="170">
        <f t="shared" si="11"/>
        <v>15476.25</v>
      </c>
      <c r="AH38" s="171">
        <f t="shared" si="11"/>
        <v>9.4672868304000009</v>
      </c>
      <c r="AI38" s="173" t="str">
        <f t="shared" si="4"/>
        <v/>
      </c>
      <c r="AJ38" s="174" t="str">
        <f t="shared" si="5"/>
        <v/>
      </c>
      <c r="AK38" s="175" t="str">
        <f t="shared" si="6"/>
        <v/>
      </c>
      <c r="AL38" s="176" t="str">
        <f t="shared" si="7"/>
        <v/>
      </c>
      <c r="AM38" s="177"/>
      <c r="AN38" s="718">
        <f>'Sam-Pojazdy-WSAD'!AP45</f>
        <v>0</v>
      </c>
      <c r="AO38" s="720">
        <v>1</v>
      </c>
      <c r="AP38" s="177"/>
      <c r="AQ38" s="177"/>
      <c r="AR38" s="177"/>
      <c r="AS38" s="177"/>
      <c r="AT38" s="177"/>
      <c r="AU38" s="177"/>
      <c r="AV38" s="177"/>
      <c r="AW38" s="177"/>
      <c r="AX38" s="177"/>
      <c r="AY38" s="177"/>
      <c r="AZ38" s="177"/>
      <c r="BA38" s="177"/>
    </row>
    <row r="39" spans="1:53" s="178" customFormat="1">
      <c r="A39" s="145"/>
      <c r="B39" s="713" t="str">
        <f>'Sam-Pojazdy-WSAD'!B39</f>
        <v>Schronisko dla Zwierząt w Bydgoszczy</v>
      </c>
      <c r="C39" s="726" t="str">
        <f>'Sam-Pojazdy-WSAD'!C39</f>
        <v>SZ</v>
      </c>
      <c r="D39" s="169">
        <f>$AO39*'Sam-Pojazdy-WSAD'!D39</f>
        <v>2576.89</v>
      </c>
      <c r="E39" s="170">
        <f>$AO39*'Sam-Pojazdy-WSAD'!E39</f>
        <v>10263.049999999999</v>
      </c>
      <c r="F39" s="171">
        <f>D39*'Wskazniki emisji paliw'!L$19</f>
        <v>6.1809366000479997</v>
      </c>
      <c r="G39" s="169">
        <f>$AO39*'Sam-Pojazdy-WSAD'!H39</f>
        <v>1791.75</v>
      </c>
      <c r="H39" s="170">
        <f>$AO39*'Sam-Pojazdy-WSAD'!I39</f>
        <v>6464.93</v>
      </c>
      <c r="I39" s="171">
        <f>G39*'Wskazniki emisji paliw'!L$18</f>
        <v>4.7969172555286486</v>
      </c>
      <c r="J39" s="169">
        <f>$AO39*'Sam-Pojazdy-WSAD'!L39</f>
        <v>0</v>
      </c>
      <c r="K39" s="170">
        <f>$AO39*'Sam-Pojazdy-WSAD'!M39</f>
        <v>0</v>
      </c>
      <c r="L39" s="171">
        <f>J39*'Wskazniki emisji paliw'!$L$28</f>
        <v>0</v>
      </c>
      <c r="M39" s="169">
        <f>$AO39*'Sam-Pojazdy-WSAD'!O39</f>
        <v>0</v>
      </c>
      <c r="N39" s="170">
        <f>$AO39*'Sam-Pojazdy-WSAD'!P39</f>
        <v>0</v>
      </c>
      <c r="O39" s="171">
        <f>M39*'Wskazniki emisji paliw'!M$29</f>
        <v>0</v>
      </c>
      <c r="P39" s="169">
        <f>$AO39*'Sam-Pojazdy-WSAD'!R39</f>
        <v>0</v>
      </c>
      <c r="Q39" s="170">
        <f>$AO39*'Sam-Pojazdy-WSAD'!S39</f>
        <v>0</v>
      </c>
      <c r="R39" s="171">
        <f>P39*'Wskazniki emisji paliw'!L$21</f>
        <v>0</v>
      </c>
      <c r="S39" s="169">
        <f>$AO39*'Sam-Pojazdy-WSAD'!U39</f>
        <v>0</v>
      </c>
      <c r="T39" s="170">
        <f>$AO39*'Sam-Pojazdy-WSAD'!V39</f>
        <v>0</v>
      </c>
      <c r="U39" s="171">
        <f>S39*'Wskazniki emisji paliw'!L$19*(1-U$6)</f>
        <v>0</v>
      </c>
      <c r="V39" s="169">
        <f>$AO39*'Sam-Pojazdy-WSAD'!X39</f>
        <v>0</v>
      </c>
      <c r="W39" s="170">
        <f>$AO39*'Sam-Pojazdy-WSAD'!Y39</f>
        <v>0</v>
      </c>
      <c r="X39" s="171">
        <f>V39*'Wskazniki emisji paliw'!L$18*(1-X$6)</f>
        <v>0</v>
      </c>
      <c r="Y39" s="169">
        <f>$AO39*'Sam-Pojazdy-WSAD'!AA39</f>
        <v>0</v>
      </c>
      <c r="Z39" s="170">
        <f>$AO39*'Sam-Pojazdy-WSAD'!AB39</f>
        <v>0</v>
      </c>
      <c r="AA39" s="171">
        <f>Y39*(HLOOKUP(Ogolne!$D$6,'Wskazniki emisji elektrycznosc'!$B$8:$G$29,Ogolne!$E$7,TRUE))/1000</f>
        <v>0</v>
      </c>
      <c r="AB39" s="145"/>
      <c r="AC39" s="167" t="str">
        <f t="shared" ref="AC39:AD41" si="12">B39</f>
        <v>Schronisko dla Zwierząt w Bydgoszczy</v>
      </c>
      <c r="AD39" s="167" t="str">
        <f t="shared" si="12"/>
        <v>SZ</v>
      </c>
      <c r="AE39" s="172">
        <f>'Sam-Pojazdy-WSAD'!AG39</f>
        <v>2</v>
      </c>
      <c r="AF39" s="172">
        <f>'Sam-Pojazdy-WSAD'!AH39</f>
        <v>47892</v>
      </c>
      <c r="AG39" s="170">
        <f t="shared" ref="AG39:AH41" si="13">E39+H39+K39+N39+Q39+T39+W39+Z39</f>
        <v>16727.98</v>
      </c>
      <c r="AH39" s="171">
        <f t="shared" si="13"/>
        <v>10.977853855576647</v>
      </c>
      <c r="AI39" s="173">
        <f t="shared" si="4"/>
        <v>0.34928547565355383</v>
      </c>
      <c r="AJ39" s="174">
        <f t="shared" si="5"/>
        <v>8363.99</v>
      </c>
      <c r="AK39" s="175">
        <f t="shared" si="6"/>
        <v>2.2922103598882167E-4</v>
      </c>
      <c r="AL39" s="176">
        <f t="shared" si="7"/>
        <v>5.4889269277883237</v>
      </c>
      <c r="AM39" s="177"/>
      <c r="AN39" s="718">
        <f>'Sam-Pojazdy-WSAD'!AP46</f>
        <v>0</v>
      </c>
      <c r="AO39" s="720">
        <v>1</v>
      </c>
      <c r="AP39" s="177"/>
      <c r="AQ39" s="177"/>
      <c r="AR39" s="177"/>
      <c r="AS39" s="177"/>
      <c r="AT39" s="177"/>
      <c r="AU39" s="177"/>
      <c r="AV39" s="177"/>
      <c r="AW39" s="177"/>
      <c r="AX39" s="177"/>
      <c r="AY39" s="177"/>
      <c r="AZ39" s="177"/>
      <c r="BA39" s="177"/>
    </row>
    <row r="40" spans="1:53" s="178" customFormat="1">
      <c r="A40" s="145"/>
      <c r="B40" s="713" t="str">
        <f>'Sam-Pojazdy-WSAD'!B40</f>
        <v>Spółka Wodna Kapuścińska w Bydgoszczy</v>
      </c>
      <c r="C40" s="726" t="str">
        <f>'Sam-Pojazdy-WSAD'!C40</f>
        <v>SWK</v>
      </c>
      <c r="D40" s="169">
        <f>$AO40*'Sam-Pojazdy-WSAD'!D40</f>
        <v>0</v>
      </c>
      <c r="E40" s="170">
        <f>$AO40*'Sam-Pojazdy-WSAD'!E40</f>
        <v>0</v>
      </c>
      <c r="F40" s="171">
        <f>D40*'Wskazniki emisji paliw'!L$19</f>
        <v>0</v>
      </c>
      <c r="G40" s="169">
        <f>$AO40*'Sam-Pojazdy-WSAD'!H40</f>
        <v>0</v>
      </c>
      <c r="H40" s="170">
        <f>$AO40*'Sam-Pojazdy-WSAD'!I40</f>
        <v>0</v>
      </c>
      <c r="I40" s="171">
        <f>G40*'Wskazniki emisji paliw'!L$18</f>
        <v>0</v>
      </c>
      <c r="J40" s="169">
        <f>$AO40*'Sam-Pojazdy-WSAD'!L40</f>
        <v>0</v>
      </c>
      <c r="K40" s="170">
        <f>$AO40*'Sam-Pojazdy-WSAD'!M40</f>
        <v>0</v>
      </c>
      <c r="L40" s="171">
        <f>J40*'Wskazniki emisji paliw'!$L$28</f>
        <v>0</v>
      </c>
      <c r="M40" s="169">
        <f>$AO40*'Sam-Pojazdy-WSAD'!O40</f>
        <v>0</v>
      </c>
      <c r="N40" s="170">
        <f>$AO40*'Sam-Pojazdy-WSAD'!P40</f>
        <v>0</v>
      </c>
      <c r="O40" s="171">
        <f>M40*'Wskazniki emisji paliw'!M$29</f>
        <v>0</v>
      </c>
      <c r="P40" s="169">
        <f>$AO40*'Sam-Pojazdy-WSAD'!R40</f>
        <v>0</v>
      </c>
      <c r="Q40" s="170">
        <f>$AO40*'Sam-Pojazdy-WSAD'!S40</f>
        <v>0</v>
      </c>
      <c r="R40" s="171">
        <f>P40*'Wskazniki emisji paliw'!L$21</f>
        <v>0</v>
      </c>
      <c r="S40" s="169">
        <f>$AO40*'Sam-Pojazdy-WSAD'!U40</f>
        <v>0</v>
      </c>
      <c r="T40" s="170">
        <f>$AO40*'Sam-Pojazdy-WSAD'!V40</f>
        <v>0</v>
      </c>
      <c r="U40" s="171">
        <f>S40*'Wskazniki emisji paliw'!L$19*(1-U$6)</f>
        <v>0</v>
      </c>
      <c r="V40" s="169">
        <f>$AO40*'Sam-Pojazdy-WSAD'!X40</f>
        <v>0</v>
      </c>
      <c r="W40" s="170">
        <f>$AO40*'Sam-Pojazdy-WSAD'!Y40</f>
        <v>0</v>
      </c>
      <c r="X40" s="171">
        <f>V40*'Wskazniki emisji paliw'!L$18*(1-X$6)</f>
        <v>0</v>
      </c>
      <c r="Y40" s="169">
        <f>$AO40*'Sam-Pojazdy-WSAD'!AA40</f>
        <v>0</v>
      </c>
      <c r="Z40" s="170">
        <f>$AO40*'Sam-Pojazdy-WSAD'!AB40</f>
        <v>0</v>
      </c>
      <c r="AA40" s="171">
        <f>Y40*(HLOOKUP(Ogolne!$D$6,'Wskazniki emisji elektrycznosc'!$B$8:$G$29,Ogolne!$E$7,TRUE))/1000</f>
        <v>0</v>
      </c>
      <c r="AB40" s="145"/>
      <c r="AC40" s="167" t="str">
        <f t="shared" si="12"/>
        <v>Spółka Wodna Kapuścińska w Bydgoszczy</v>
      </c>
      <c r="AD40" s="167" t="str">
        <f t="shared" si="12"/>
        <v>SWK</v>
      </c>
      <c r="AE40" s="172">
        <f>'Sam-Pojazdy-WSAD'!AG40</f>
        <v>3</v>
      </c>
      <c r="AF40" s="172">
        <f>'Sam-Pojazdy-WSAD'!AH40</f>
        <v>36808</v>
      </c>
      <c r="AG40" s="170">
        <f t="shared" si="13"/>
        <v>0</v>
      </c>
      <c r="AH40" s="171">
        <f t="shared" si="13"/>
        <v>0</v>
      </c>
      <c r="AI40" s="173">
        <f t="shared" si="4"/>
        <v>0</v>
      </c>
      <c r="AJ40" s="174">
        <f t="shared" si="5"/>
        <v>0</v>
      </c>
      <c r="AK40" s="175">
        <f t="shared" si="6"/>
        <v>0</v>
      </c>
      <c r="AL40" s="176">
        <f t="shared" si="7"/>
        <v>0</v>
      </c>
      <c r="AM40" s="177"/>
      <c r="AN40" s="718">
        <f>'Sam-Pojazdy-WSAD'!AP47</f>
        <v>0</v>
      </c>
      <c r="AO40" s="720">
        <v>1</v>
      </c>
      <c r="AP40" s="177"/>
      <c r="AQ40" s="177"/>
      <c r="AR40" s="177"/>
      <c r="AS40" s="177"/>
      <c r="AT40" s="177"/>
      <c r="AU40" s="177"/>
      <c r="AV40" s="177"/>
      <c r="AW40" s="177"/>
      <c r="AX40" s="177"/>
      <c r="AY40" s="177"/>
      <c r="AZ40" s="177"/>
      <c r="BA40" s="177"/>
    </row>
    <row r="41" spans="1:53" s="178" customFormat="1">
      <c r="A41" s="145"/>
      <c r="B41" s="713" t="str">
        <f>'Sam-Pojazdy-WSAD'!B41</f>
        <v>Straż Miejska w Bydgoszczy</v>
      </c>
      <c r="C41" s="726" t="str">
        <f>'Sam-Pojazdy-WSAD'!C41</f>
        <v>SM</v>
      </c>
      <c r="D41" s="169">
        <f>$AO41*'Sam-Pojazdy-WSAD'!D41</f>
        <v>6638.08</v>
      </c>
      <c r="E41" s="170">
        <f>$AO41*'Sam-Pojazdy-WSAD'!E41</f>
        <v>20038.39</v>
      </c>
      <c r="F41" s="171">
        <f>D41*'Wskazniki emisji paliw'!L$19</f>
        <v>15.922119929856001</v>
      </c>
      <c r="G41" s="169">
        <f>$AO41*'Sam-Pojazdy-WSAD'!H41</f>
        <v>24061.7</v>
      </c>
      <c r="H41" s="170">
        <f>$AO41*'Sam-Pojazdy-WSAD'!I41</f>
        <v>47036.73</v>
      </c>
      <c r="I41" s="171">
        <f>G41*'Wskazniki emisji paliw'!L$18</f>
        <v>64.418576211722439</v>
      </c>
      <c r="J41" s="169">
        <f>$AO41*'Sam-Pojazdy-WSAD'!L41</f>
        <v>0</v>
      </c>
      <c r="K41" s="170">
        <f>$AO41*'Sam-Pojazdy-WSAD'!M41</f>
        <v>0</v>
      </c>
      <c r="L41" s="171">
        <f>J41*'Wskazniki emisji paliw'!$L$28</f>
        <v>0</v>
      </c>
      <c r="M41" s="169">
        <f>$AO41*'Sam-Pojazdy-WSAD'!O41</f>
        <v>0</v>
      </c>
      <c r="N41" s="170">
        <f>$AO41*'Sam-Pojazdy-WSAD'!P41</f>
        <v>0</v>
      </c>
      <c r="O41" s="171">
        <f>M41*'Wskazniki emisji paliw'!M$29</f>
        <v>0</v>
      </c>
      <c r="P41" s="169">
        <f>$AO41*'Sam-Pojazdy-WSAD'!R41</f>
        <v>64878.8</v>
      </c>
      <c r="Q41" s="170">
        <f>$AO41*'Sam-Pojazdy-WSAD'!S41</f>
        <v>98610.65</v>
      </c>
      <c r="R41" s="171">
        <f>P41*'Wskazniki emisji paliw'!L$21</f>
        <v>109.33297521439999</v>
      </c>
      <c r="S41" s="169">
        <f>$AO41*'Sam-Pojazdy-WSAD'!U41</f>
        <v>0</v>
      </c>
      <c r="T41" s="170">
        <f>$AO41*'Sam-Pojazdy-WSAD'!V41</f>
        <v>0</v>
      </c>
      <c r="U41" s="171">
        <f>S41*'Wskazniki emisji paliw'!L$19*(1-U$6)</f>
        <v>0</v>
      </c>
      <c r="V41" s="169">
        <f>$AO41*'Sam-Pojazdy-WSAD'!X41</f>
        <v>0</v>
      </c>
      <c r="W41" s="170">
        <f>$AO41*'Sam-Pojazdy-WSAD'!Y41</f>
        <v>0</v>
      </c>
      <c r="X41" s="171">
        <f>V41*'Wskazniki emisji paliw'!L$18*(1-X$6)</f>
        <v>0</v>
      </c>
      <c r="Y41" s="169">
        <f>$AO41*'Sam-Pojazdy-WSAD'!AA41</f>
        <v>0</v>
      </c>
      <c r="Z41" s="170">
        <f>$AO41*'Sam-Pojazdy-WSAD'!AB41</f>
        <v>0</v>
      </c>
      <c r="AA41" s="171">
        <f>Y41*(HLOOKUP(Ogolne!$D$6,'Wskazniki emisji elektrycznosc'!$B$8:$G$29,Ogolne!$E$7,TRUE))/1000</f>
        <v>0</v>
      </c>
      <c r="AB41" s="145"/>
      <c r="AC41" s="167" t="str">
        <f t="shared" si="12"/>
        <v>Straż Miejska w Bydgoszczy</v>
      </c>
      <c r="AD41" s="167" t="str">
        <f t="shared" si="12"/>
        <v>SM</v>
      </c>
      <c r="AE41" s="172">
        <f>'Sam-Pojazdy-WSAD'!AG41</f>
        <v>0</v>
      </c>
      <c r="AF41" s="172">
        <f>'Sam-Pojazdy-WSAD'!AH41</f>
        <v>0</v>
      </c>
      <c r="AG41" s="170">
        <f t="shared" si="13"/>
        <v>165685.76999999999</v>
      </c>
      <c r="AH41" s="171">
        <f t="shared" si="13"/>
        <v>189.67367135597843</v>
      </c>
      <c r="AI41" s="173" t="str">
        <f t="shared" si="4"/>
        <v/>
      </c>
      <c r="AJ41" s="174" t="str">
        <f t="shared" si="5"/>
        <v/>
      </c>
      <c r="AK41" s="175" t="str">
        <f t="shared" si="6"/>
        <v/>
      </c>
      <c r="AL41" s="176" t="str">
        <f t="shared" si="7"/>
        <v/>
      </c>
      <c r="AM41" s="177"/>
      <c r="AN41" s="718">
        <f>'Sam-Pojazdy-WSAD'!AP48</f>
        <v>0</v>
      </c>
      <c r="AO41" s="720">
        <v>1</v>
      </c>
      <c r="AP41" s="177"/>
      <c r="AQ41" s="177"/>
      <c r="AR41" s="177"/>
      <c r="AS41" s="177"/>
      <c r="AT41" s="177"/>
      <c r="AU41" s="177"/>
      <c r="AV41" s="177"/>
      <c r="AW41" s="177"/>
      <c r="AX41" s="177"/>
      <c r="AY41" s="177"/>
      <c r="AZ41" s="177"/>
      <c r="BA41" s="177"/>
    </row>
    <row r="42" spans="1:53" s="178" customFormat="1">
      <c r="A42" s="145"/>
      <c r="B42" s="713" t="str">
        <f>'Sam-Pojazdy-WSAD'!B42</f>
        <v>Teatr Polski im. Hieronima Konieczki w Bydgoszczy</v>
      </c>
      <c r="C42" s="726" t="str">
        <f>'Sam-Pojazdy-WSAD'!C42</f>
        <v>TP</v>
      </c>
      <c r="D42" s="169">
        <f>$AO42*'Sam-Pojazdy-WSAD'!D42</f>
        <v>0</v>
      </c>
      <c r="E42" s="170">
        <f>$AO42*'Sam-Pojazdy-WSAD'!E42</f>
        <v>0</v>
      </c>
      <c r="F42" s="171">
        <f>D42*'Wskazniki emisji paliw'!L$19</f>
        <v>0</v>
      </c>
      <c r="G42" s="169">
        <f>$AO42*'Sam-Pojazdy-WSAD'!H42</f>
        <v>1135.0909999999999</v>
      </c>
      <c r="H42" s="170">
        <f>$AO42*'Sam-Pojazdy-WSAD'!I42</f>
        <v>3995.26</v>
      </c>
      <c r="I42" s="171">
        <f>G42*'Wskazniki emisji paliw'!L$18</f>
        <v>3.0388935981555845</v>
      </c>
      <c r="J42" s="169">
        <f>$AO42*'Sam-Pojazdy-WSAD'!L42</f>
        <v>0</v>
      </c>
      <c r="K42" s="170">
        <f>$AO42*'Sam-Pojazdy-WSAD'!M42</f>
        <v>0</v>
      </c>
      <c r="L42" s="171">
        <f>J42*'Wskazniki emisji paliw'!$L$28</f>
        <v>0</v>
      </c>
      <c r="M42" s="169">
        <f>$AO42*'Sam-Pojazdy-WSAD'!O42</f>
        <v>0</v>
      </c>
      <c r="N42" s="170">
        <f>$AO42*'Sam-Pojazdy-WSAD'!P42</f>
        <v>0</v>
      </c>
      <c r="O42" s="171">
        <f>M42*'Wskazniki emisji paliw'!M$29</f>
        <v>0</v>
      </c>
      <c r="P42" s="169">
        <f>$AO42*'Sam-Pojazdy-WSAD'!R42</f>
        <v>0</v>
      </c>
      <c r="Q42" s="170">
        <f>$AO42*'Sam-Pojazdy-WSAD'!S42</f>
        <v>0</v>
      </c>
      <c r="R42" s="171">
        <f>P42*'Wskazniki emisji paliw'!L$21</f>
        <v>0</v>
      </c>
      <c r="S42" s="169">
        <f>$AO42*'Sam-Pojazdy-WSAD'!U42</f>
        <v>0</v>
      </c>
      <c r="T42" s="170">
        <f>$AO42*'Sam-Pojazdy-WSAD'!V42</f>
        <v>0</v>
      </c>
      <c r="U42" s="171">
        <f>S42*'Wskazniki emisji paliw'!L$19*(1-U$6)</f>
        <v>0</v>
      </c>
      <c r="V42" s="169">
        <f>$AO42*'Sam-Pojazdy-WSAD'!X42</f>
        <v>0</v>
      </c>
      <c r="W42" s="170">
        <f>$AO42*'Sam-Pojazdy-WSAD'!Y42</f>
        <v>0</v>
      </c>
      <c r="X42" s="171">
        <f>V42*'Wskazniki emisji paliw'!L$18*(1-X$6)</f>
        <v>0</v>
      </c>
      <c r="Y42" s="169">
        <f>$AO42*'Sam-Pojazdy-WSAD'!AA42</f>
        <v>0</v>
      </c>
      <c r="Z42" s="170">
        <f>$AO42*'Sam-Pojazdy-WSAD'!AB42</f>
        <v>0</v>
      </c>
      <c r="AA42" s="171">
        <f>Y42*(HLOOKUP(Ogolne!$D$6,'Wskazniki emisji elektrycznosc'!$B$8:$G$29,Ogolne!$E$7,TRUE))/1000</f>
        <v>0</v>
      </c>
      <c r="AB42" s="145"/>
      <c r="AC42" s="167" t="str">
        <f t="shared" ref="AC42:AC57" si="14">B42</f>
        <v>Teatr Polski im. Hieronima Konieczki w Bydgoszczy</v>
      </c>
      <c r="AD42" s="167" t="str">
        <f t="shared" ref="AD42:AD57" si="15">C42</f>
        <v>TP</v>
      </c>
      <c r="AE42" s="172">
        <f>'Sam-Pojazdy-WSAD'!AG42</f>
        <v>20</v>
      </c>
      <c r="AF42" s="172">
        <f>'Sam-Pojazdy-WSAD'!AH42</f>
        <v>700000</v>
      </c>
      <c r="AG42" s="170">
        <f t="shared" ref="AG42:AG57" si="16">E42+H42+K42+N42+Q42+T42+W42+Z42</f>
        <v>3995.26</v>
      </c>
      <c r="AH42" s="171">
        <f t="shared" ref="AH42:AH57" si="17">F42+I42+L42+O42+R42+U42+X42+AA42</f>
        <v>3.0388935981555845</v>
      </c>
      <c r="AI42" s="173">
        <f t="shared" ref="AI42:AI69" si="18">IFERROR(AG42/AF42,"")</f>
        <v>5.7075142857142859E-3</v>
      </c>
      <c r="AJ42" s="174">
        <f t="shared" ref="AJ42:AJ69" si="19">IFERROR(AG42/AE42,"")</f>
        <v>199.76300000000001</v>
      </c>
      <c r="AK42" s="175">
        <f t="shared" ref="AK42:AK69" si="20">IFERROR(AH42/AF42,"")</f>
        <v>4.3412765687936919E-6</v>
      </c>
      <c r="AL42" s="176">
        <f t="shared" ref="AL42:AL69" si="21">IFERROR(AH42/AE42,"")</f>
        <v>0.15194467990777921</v>
      </c>
      <c r="AM42" s="177"/>
      <c r="AN42" s="718">
        <f>'Sam-Pojazdy-WSAD'!AP49</f>
        <v>0</v>
      </c>
      <c r="AO42" s="720">
        <v>1</v>
      </c>
      <c r="AP42" s="177"/>
      <c r="AQ42" s="177"/>
      <c r="AR42" s="177"/>
      <c r="AS42" s="177"/>
      <c r="AT42" s="177"/>
      <c r="AU42" s="177"/>
      <c r="AV42" s="177"/>
      <c r="AW42" s="177"/>
      <c r="AX42" s="177"/>
      <c r="AY42" s="177"/>
      <c r="AZ42" s="177"/>
      <c r="BA42" s="177"/>
    </row>
    <row r="43" spans="1:53" s="178" customFormat="1">
      <c r="A43" s="145"/>
      <c r="B43" s="713" t="str">
        <f>'Sam-Pojazdy-WSAD'!B43</f>
        <v>Tramwaj Fordon Sp. z o.o.</v>
      </c>
      <c r="C43" s="726" t="str">
        <f>'Sam-Pojazdy-WSAD'!C43</f>
        <v>TF</v>
      </c>
      <c r="D43" s="169">
        <f>$AO43*'Sam-Pojazdy-WSAD'!D43</f>
        <v>0</v>
      </c>
      <c r="E43" s="170">
        <f>$AO43*'Sam-Pojazdy-WSAD'!E43</f>
        <v>0</v>
      </c>
      <c r="F43" s="171">
        <f>D43*'Wskazniki emisji paliw'!L$19</f>
        <v>0</v>
      </c>
      <c r="G43" s="169">
        <f>$AO43*'Sam-Pojazdy-WSAD'!H43</f>
        <v>0</v>
      </c>
      <c r="H43" s="170">
        <f>$AO43*'Sam-Pojazdy-WSAD'!I43</f>
        <v>0</v>
      </c>
      <c r="I43" s="171">
        <f>G43*'Wskazniki emisji paliw'!L$18</f>
        <v>0</v>
      </c>
      <c r="J43" s="169">
        <f>$AO43*'Sam-Pojazdy-WSAD'!L43</f>
        <v>0</v>
      </c>
      <c r="K43" s="170">
        <f>$AO43*'Sam-Pojazdy-WSAD'!M43</f>
        <v>0</v>
      </c>
      <c r="L43" s="171">
        <f>J43*'Wskazniki emisji paliw'!$L$28</f>
        <v>0</v>
      </c>
      <c r="M43" s="169">
        <f>$AO43*'Sam-Pojazdy-WSAD'!O43</f>
        <v>0</v>
      </c>
      <c r="N43" s="170">
        <f>$AO43*'Sam-Pojazdy-WSAD'!P43</f>
        <v>0</v>
      </c>
      <c r="O43" s="171">
        <f>M43*'Wskazniki emisji paliw'!M$29</f>
        <v>0</v>
      </c>
      <c r="P43" s="169">
        <f>$AO43*'Sam-Pojazdy-WSAD'!R43</f>
        <v>0</v>
      </c>
      <c r="Q43" s="170">
        <f>$AO43*'Sam-Pojazdy-WSAD'!S43</f>
        <v>0</v>
      </c>
      <c r="R43" s="171">
        <f>P43*'Wskazniki emisji paliw'!L$21</f>
        <v>0</v>
      </c>
      <c r="S43" s="169">
        <f>$AO43*'Sam-Pojazdy-WSAD'!U43</f>
        <v>0</v>
      </c>
      <c r="T43" s="170">
        <f>$AO43*'Sam-Pojazdy-WSAD'!V43</f>
        <v>0</v>
      </c>
      <c r="U43" s="171">
        <f>S43*'Wskazniki emisji paliw'!L$19*(1-U$6)</f>
        <v>0</v>
      </c>
      <c r="V43" s="169">
        <f>$AO43*'Sam-Pojazdy-WSAD'!X43</f>
        <v>0</v>
      </c>
      <c r="W43" s="170">
        <f>$AO43*'Sam-Pojazdy-WSAD'!Y43</f>
        <v>0</v>
      </c>
      <c r="X43" s="171">
        <f>V43*'Wskazniki emisji paliw'!L$18*(1-X$6)</f>
        <v>0</v>
      </c>
      <c r="Y43" s="169">
        <f>$AO43*'Sam-Pojazdy-WSAD'!AA43</f>
        <v>0</v>
      </c>
      <c r="Z43" s="170">
        <f>$AO43*'Sam-Pojazdy-WSAD'!AB43</f>
        <v>0</v>
      </c>
      <c r="AA43" s="171">
        <f>Y43*(HLOOKUP(Ogolne!$D$6,'Wskazniki emisji elektrycznosc'!$B$8:$G$29,Ogolne!$E$7,TRUE))/1000</f>
        <v>0</v>
      </c>
      <c r="AB43" s="145"/>
      <c r="AC43" s="167" t="str">
        <f t="shared" si="14"/>
        <v>Tramwaj Fordon Sp. z o.o.</v>
      </c>
      <c r="AD43" s="167" t="str">
        <f t="shared" si="15"/>
        <v>TF</v>
      </c>
      <c r="AE43" s="172">
        <f>'Sam-Pojazdy-WSAD'!AG43</f>
        <v>0</v>
      </c>
      <c r="AF43" s="172">
        <f>'Sam-Pojazdy-WSAD'!AH43</f>
        <v>0</v>
      </c>
      <c r="AG43" s="170">
        <f t="shared" si="16"/>
        <v>0</v>
      </c>
      <c r="AH43" s="171">
        <f t="shared" si="17"/>
        <v>0</v>
      </c>
      <c r="AI43" s="173" t="str">
        <f t="shared" si="18"/>
        <v/>
      </c>
      <c r="AJ43" s="174" t="str">
        <f t="shared" si="19"/>
        <v/>
      </c>
      <c r="AK43" s="175" t="str">
        <f t="shared" si="20"/>
        <v/>
      </c>
      <c r="AL43" s="176" t="str">
        <f t="shared" si="21"/>
        <v/>
      </c>
      <c r="AM43" s="177"/>
      <c r="AN43" s="718">
        <f>'Sam-Pojazdy-WSAD'!AP50</f>
        <v>0</v>
      </c>
      <c r="AO43" s="720">
        <v>1</v>
      </c>
      <c r="AP43" s="177"/>
      <c r="AQ43" s="177"/>
      <c r="AR43" s="177"/>
      <c r="AS43" s="177"/>
      <c r="AT43" s="177"/>
      <c r="AU43" s="177"/>
      <c r="AV43" s="177"/>
      <c r="AW43" s="177"/>
      <c r="AX43" s="177"/>
      <c r="AY43" s="177"/>
      <c r="AZ43" s="177"/>
      <c r="BA43" s="177"/>
    </row>
    <row r="44" spans="1:53" s="178" customFormat="1">
      <c r="A44" s="145"/>
      <c r="B44" s="713" t="str">
        <f>'Sam-Pojazdy-WSAD'!B44</f>
        <v>Wielospecjalistyczny Szpital Miejski im. dr Emila Warmińskiego SPZOZ w Bydgoszczy</v>
      </c>
      <c r="C44" s="726" t="str">
        <f>'Sam-Pojazdy-WSAD'!C44</f>
        <v>WSM</v>
      </c>
      <c r="D44" s="169">
        <f>$AO44*'Sam-Pojazdy-WSAD'!D44</f>
        <v>0</v>
      </c>
      <c r="E44" s="170">
        <f>$AO44*'Sam-Pojazdy-WSAD'!E44</f>
        <v>0</v>
      </c>
      <c r="F44" s="171">
        <f>D44*'Wskazniki emisji paliw'!L$19</f>
        <v>0</v>
      </c>
      <c r="G44" s="169">
        <f>$AO44*'Sam-Pojazdy-WSAD'!H44</f>
        <v>1020</v>
      </c>
      <c r="H44" s="170">
        <f>$AO44*'Sam-Pojazdy-WSAD'!I44</f>
        <v>3276</v>
      </c>
      <c r="I44" s="171">
        <f>G44*'Wskazniki emisji paliw'!L$18</f>
        <v>2.730769136675999</v>
      </c>
      <c r="J44" s="169">
        <f>$AO44*'Sam-Pojazdy-WSAD'!L44</f>
        <v>0</v>
      </c>
      <c r="K44" s="170">
        <f>$AO44*'Sam-Pojazdy-WSAD'!M44</f>
        <v>0</v>
      </c>
      <c r="L44" s="171">
        <f>J44*'Wskazniki emisji paliw'!$L$28</f>
        <v>0</v>
      </c>
      <c r="M44" s="169">
        <f>$AO44*'Sam-Pojazdy-WSAD'!O44</f>
        <v>0</v>
      </c>
      <c r="N44" s="170">
        <f>$AO44*'Sam-Pojazdy-WSAD'!P44</f>
        <v>0</v>
      </c>
      <c r="O44" s="171">
        <f>M44*'Wskazniki emisji paliw'!M$29</f>
        <v>0</v>
      </c>
      <c r="P44" s="169">
        <f>$AO44*'Sam-Pojazdy-WSAD'!R44</f>
        <v>0</v>
      </c>
      <c r="Q44" s="170">
        <f>$AO44*'Sam-Pojazdy-WSAD'!S44</f>
        <v>0</v>
      </c>
      <c r="R44" s="171">
        <f>P44*'Wskazniki emisji paliw'!L$21</f>
        <v>0</v>
      </c>
      <c r="S44" s="169">
        <f>$AO44*'Sam-Pojazdy-WSAD'!U44</f>
        <v>0</v>
      </c>
      <c r="T44" s="170">
        <f>$AO44*'Sam-Pojazdy-WSAD'!V44</f>
        <v>0</v>
      </c>
      <c r="U44" s="171">
        <f>S44*'Wskazniki emisji paliw'!L$19*(1-U$6)</f>
        <v>0</v>
      </c>
      <c r="V44" s="169">
        <f>$AO44*'Sam-Pojazdy-WSAD'!X44</f>
        <v>0</v>
      </c>
      <c r="W44" s="170">
        <f>$AO44*'Sam-Pojazdy-WSAD'!Y44</f>
        <v>0</v>
      </c>
      <c r="X44" s="171">
        <f>V44*'Wskazniki emisji paliw'!L$18*(1-X$6)</f>
        <v>0</v>
      </c>
      <c r="Y44" s="169">
        <f>$AO44*'Sam-Pojazdy-WSAD'!AA44</f>
        <v>0</v>
      </c>
      <c r="Z44" s="170">
        <f>$AO44*'Sam-Pojazdy-WSAD'!AB44</f>
        <v>0</v>
      </c>
      <c r="AA44" s="171">
        <f>Y44*(HLOOKUP(Ogolne!$D$6,'Wskazniki emisji elektrycznosc'!$B$8:$G$29,Ogolne!$E$7,TRUE))/1000</f>
        <v>0</v>
      </c>
      <c r="AB44" s="145"/>
      <c r="AC44" s="167" t="str">
        <f t="shared" si="14"/>
        <v>Wielospecjalistyczny Szpital Miejski im. dr Emila Warmińskiego SPZOZ w Bydgoszczy</v>
      </c>
      <c r="AD44" s="167" t="str">
        <f t="shared" si="15"/>
        <v>WSM</v>
      </c>
      <c r="AE44" s="172">
        <f>'Sam-Pojazdy-WSAD'!AG44</f>
        <v>1</v>
      </c>
      <c r="AF44" s="172">
        <f>'Sam-Pojazdy-WSAD'!AH44</f>
        <v>7846.15</v>
      </c>
      <c r="AG44" s="170">
        <f t="shared" si="16"/>
        <v>3276</v>
      </c>
      <c r="AH44" s="171">
        <f t="shared" si="17"/>
        <v>2.730769136675999</v>
      </c>
      <c r="AI44" s="173">
        <f t="shared" si="18"/>
        <v>0.41752961643608649</v>
      </c>
      <c r="AJ44" s="174">
        <f t="shared" si="19"/>
        <v>3276</v>
      </c>
      <c r="AK44" s="175">
        <f t="shared" si="20"/>
        <v>3.4803937430153629E-4</v>
      </c>
      <c r="AL44" s="176">
        <f t="shared" si="21"/>
        <v>2.730769136675999</v>
      </c>
      <c r="AM44" s="177"/>
      <c r="AN44" s="718">
        <f>'Sam-Pojazdy-WSAD'!AP51</f>
        <v>0</v>
      </c>
      <c r="AO44" s="720">
        <v>1</v>
      </c>
      <c r="AP44" s="177"/>
      <c r="AQ44" s="177"/>
      <c r="AR44" s="177"/>
      <c r="AS44" s="177"/>
      <c r="AT44" s="177"/>
      <c r="AU44" s="177"/>
      <c r="AV44" s="177"/>
      <c r="AW44" s="177"/>
      <c r="AX44" s="177"/>
      <c r="AY44" s="177"/>
      <c r="AZ44" s="177"/>
      <c r="BA44" s="177"/>
    </row>
    <row r="45" spans="1:53" s="178" customFormat="1">
      <c r="A45" s="145"/>
      <c r="B45" s="713" t="str">
        <f>'Sam-Pojazdy-WSAD'!B45</f>
        <v xml:space="preserve">Cywilno Wojskowy Związek Sportowy Zawisza Bydgoszcz </v>
      </c>
      <c r="C45" s="726" t="str">
        <f>'Sam-Pojazdy-WSAD'!C45</f>
        <v>CWZS</v>
      </c>
      <c r="D45" s="169">
        <f>$AO45*'Sam-Pojazdy-WSAD'!D45</f>
        <v>0</v>
      </c>
      <c r="E45" s="170">
        <f>$AO45*'Sam-Pojazdy-WSAD'!E45</f>
        <v>0</v>
      </c>
      <c r="F45" s="171">
        <f>D45*'Wskazniki emisji paliw'!L$19</f>
        <v>0</v>
      </c>
      <c r="G45" s="169">
        <f>$AO45*'Sam-Pojazdy-WSAD'!H45</f>
        <v>0</v>
      </c>
      <c r="H45" s="170">
        <f>$AO45*'Sam-Pojazdy-WSAD'!I45</f>
        <v>0</v>
      </c>
      <c r="I45" s="171">
        <f>G45*'Wskazniki emisji paliw'!L$18</f>
        <v>0</v>
      </c>
      <c r="J45" s="169">
        <f>$AO45*'Sam-Pojazdy-WSAD'!L45</f>
        <v>0</v>
      </c>
      <c r="K45" s="170">
        <f>$AO45*'Sam-Pojazdy-WSAD'!M45</f>
        <v>0</v>
      </c>
      <c r="L45" s="171">
        <f>J45*'Wskazniki emisji paliw'!$L$28</f>
        <v>0</v>
      </c>
      <c r="M45" s="169">
        <f>$AO45*'Sam-Pojazdy-WSAD'!O45</f>
        <v>0</v>
      </c>
      <c r="N45" s="170">
        <f>$AO45*'Sam-Pojazdy-WSAD'!P45</f>
        <v>0</v>
      </c>
      <c r="O45" s="171">
        <f>M45*'Wskazniki emisji paliw'!M$29</f>
        <v>0</v>
      </c>
      <c r="P45" s="169">
        <f>$AO45*'Sam-Pojazdy-WSAD'!R45</f>
        <v>0</v>
      </c>
      <c r="Q45" s="170">
        <f>$AO45*'Sam-Pojazdy-WSAD'!S45</f>
        <v>0</v>
      </c>
      <c r="R45" s="171">
        <f>P45*'Wskazniki emisji paliw'!L$21</f>
        <v>0</v>
      </c>
      <c r="S45" s="169">
        <f>$AO45*'Sam-Pojazdy-WSAD'!U45</f>
        <v>0</v>
      </c>
      <c r="T45" s="170">
        <f>$AO45*'Sam-Pojazdy-WSAD'!V45</f>
        <v>0</v>
      </c>
      <c r="U45" s="171">
        <f>S45*'Wskazniki emisji paliw'!L$19*(1-U$6)</f>
        <v>0</v>
      </c>
      <c r="V45" s="169">
        <f>$AO45*'Sam-Pojazdy-WSAD'!X45</f>
        <v>0</v>
      </c>
      <c r="W45" s="170">
        <f>$AO45*'Sam-Pojazdy-WSAD'!Y45</f>
        <v>0</v>
      </c>
      <c r="X45" s="171">
        <f>V45*'Wskazniki emisji paliw'!L$18*(1-X$6)</f>
        <v>0</v>
      </c>
      <c r="Y45" s="169">
        <f>$AO45*'Sam-Pojazdy-WSAD'!AA45</f>
        <v>0</v>
      </c>
      <c r="Z45" s="170">
        <f>$AO45*'Sam-Pojazdy-WSAD'!AB45</f>
        <v>0</v>
      </c>
      <c r="AA45" s="171">
        <f>Y45*(HLOOKUP(Ogolne!$D$6,'Wskazniki emisji elektrycznosc'!$B$8:$G$29,Ogolne!$E$7,TRUE))/1000</f>
        <v>0</v>
      </c>
      <c r="AB45" s="145"/>
      <c r="AC45" s="167" t="str">
        <f t="shared" si="14"/>
        <v xml:space="preserve">Cywilno Wojskowy Związek Sportowy Zawisza Bydgoszcz </v>
      </c>
      <c r="AD45" s="167" t="str">
        <f t="shared" si="15"/>
        <v>CWZS</v>
      </c>
      <c r="AE45" s="172">
        <f>'Sam-Pojazdy-WSAD'!AG45</f>
        <v>0</v>
      </c>
      <c r="AF45" s="172">
        <f>'Sam-Pojazdy-WSAD'!AH45</f>
        <v>0</v>
      </c>
      <c r="AG45" s="170">
        <f t="shared" si="16"/>
        <v>0</v>
      </c>
      <c r="AH45" s="171">
        <f t="shared" si="17"/>
        <v>0</v>
      </c>
      <c r="AI45" s="173" t="str">
        <f t="shared" si="18"/>
        <v/>
      </c>
      <c r="AJ45" s="174" t="str">
        <f t="shared" si="19"/>
        <v/>
      </c>
      <c r="AK45" s="175" t="str">
        <f t="shared" si="20"/>
        <v/>
      </c>
      <c r="AL45" s="176" t="str">
        <f t="shared" si="21"/>
        <v/>
      </c>
      <c r="AM45" s="177"/>
      <c r="AN45" s="718">
        <f>'Sam-Pojazdy-WSAD'!AP52</f>
        <v>0</v>
      </c>
      <c r="AO45" s="720">
        <v>1</v>
      </c>
      <c r="AP45" s="177"/>
      <c r="AQ45" s="177"/>
      <c r="AR45" s="177"/>
      <c r="AS45" s="177"/>
      <c r="AT45" s="177"/>
      <c r="AU45" s="177"/>
      <c r="AV45" s="177"/>
      <c r="AW45" s="177"/>
      <c r="AX45" s="177"/>
      <c r="AY45" s="177"/>
      <c r="AZ45" s="177"/>
      <c r="BA45" s="177"/>
    </row>
    <row r="46" spans="1:53" s="178" customFormat="1">
      <c r="A46" s="145"/>
      <c r="B46" s="713" t="str">
        <f>'Sam-Pojazdy-WSAD'!B46</f>
        <v>Wojewódzka i Miejska Biblioteka Publiczna im. dr Witolda Bełzy w Bydgoszczy</v>
      </c>
      <c r="C46" s="726" t="str">
        <f>'Sam-Pojazdy-WSAD'!C46</f>
        <v>BIBLIO</v>
      </c>
      <c r="D46" s="169">
        <f>$AO46*'Sam-Pojazdy-WSAD'!D46</f>
        <v>4293</v>
      </c>
      <c r="E46" s="170">
        <f>$AO46*'Sam-Pojazdy-WSAD'!E46</f>
        <v>18494.11</v>
      </c>
      <c r="F46" s="171">
        <f>D46*'Wskazniki emisji paliw'!L$19</f>
        <v>10.2972035376</v>
      </c>
      <c r="G46" s="169">
        <f>$AO46*'Sam-Pojazdy-WSAD'!H46</f>
        <v>0</v>
      </c>
      <c r="H46" s="170">
        <f>$AO46*'Sam-Pojazdy-WSAD'!I46</f>
        <v>0</v>
      </c>
      <c r="I46" s="171">
        <f>G46*'Wskazniki emisji paliw'!L$18</f>
        <v>0</v>
      </c>
      <c r="J46" s="169">
        <f>$AO46*'Sam-Pojazdy-WSAD'!L46</f>
        <v>0</v>
      </c>
      <c r="K46" s="170">
        <f>$AO46*'Sam-Pojazdy-WSAD'!M46</f>
        <v>0</v>
      </c>
      <c r="L46" s="171">
        <f>J46*'Wskazniki emisji paliw'!$L$28</f>
        <v>0</v>
      </c>
      <c r="M46" s="169">
        <f>$AO46*'Sam-Pojazdy-WSAD'!O46</f>
        <v>0</v>
      </c>
      <c r="N46" s="170">
        <f>$AO46*'Sam-Pojazdy-WSAD'!P46</f>
        <v>0</v>
      </c>
      <c r="O46" s="171">
        <f>M46*'Wskazniki emisji paliw'!M$29</f>
        <v>0</v>
      </c>
      <c r="P46" s="169">
        <f>$AO46*'Sam-Pojazdy-WSAD'!R46</f>
        <v>0</v>
      </c>
      <c r="Q46" s="170">
        <f>$AO46*'Sam-Pojazdy-WSAD'!S46</f>
        <v>0</v>
      </c>
      <c r="R46" s="171">
        <f>P46*'Wskazniki emisji paliw'!L$21</f>
        <v>0</v>
      </c>
      <c r="S46" s="169">
        <f>$AO46*'Sam-Pojazdy-WSAD'!U46</f>
        <v>0</v>
      </c>
      <c r="T46" s="170">
        <f>$AO46*'Sam-Pojazdy-WSAD'!V46</f>
        <v>0</v>
      </c>
      <c r="U46" s="171">
        <f>S46*'Wskazniki emisji paliw'!L$19*(1-U$6)</f>
        <v>0</v>
      </c>
      <c r="V46" s="169">
        <f>$AO46*'Sam-Pojazdy-WSAD'!X46</f>
        <v>0</v>
      </c>
      <c r="W46" s="170">
        <f>$AO46*'Sam-Pojazdy-WSAD'!Y46</f>
        <v>0</v>
      </c>
      <c r="X46" s="171">
        <f>V46*'Wskazniki emisji paliw'!L$18*(1-X$6)</f>
        <v>0</v>
      </c>
      <c r="Y46" s="169">
        <f>$AO46*'Sam-Pojazdy-WSAD'!AA46</f>
        <v>0</v>
      </c>
      <c r="Z46" s="170">
        <f>$AO46*'Sam-Pojazdy-WSAD'!AB46</f>
        <v>0</v>
      </c>
      <c r="AA46" s="171">
        <f>Y46*(HLOOKUP(Ogolne!$D$6,'Wskazniki emisji elektrycznosc'!$B$8:$G$29,Ogolne!$E$7,TRUE))/1000</f>
        <v>0</v>
      </c>
      <c r="AB46" s="145"/>
      <c r="AC46" s="167" t="str">
        <f t="shared" si="14"/>
        <v>Wojewódzka i Miejska Biblioteka Publiczna im. dr Witolda Bełzy w Bydgoszczy</v>
      </c>
      <c r="AD46" s="167" t="str">
        <f t="shared" si="15"/>
        <v>BIBLIO</v>
      </c>
      <c r="AE46" s="172">
        <f>'Sam-Pojazdy-WSAD'!AG46</f>
        <v>2</v>
      </c>
      <c r="AF46" s="172">
        <f>'Sam-Pojazdy-WSAD'!AH46</f>
        <v>42930</v>
      </c>
      <c r="AG46" s="170">
        <f t="shared" si="16"/>
        <v>18494.11</v>
      </c>
      <c r="AH46" s="171">
        <f t="shared" si="17"/>
        <v>10.2972035376</v>
      </c>
      <c r="AI46" s="173">
        <f t="shared" si="18"/>
        <v>0.43079687863964594</v>
      </c>
      <c r="AJ46" s="174">
        <f t="shared" si="19"/>
        <v>9247.0550000000003</v>
      </c>
      <c r="AK46" s="175">
        <f t="shared" si="20"/>
        <v>2.3986031999999999E-4</v>
      </c>
      <c r="AL46" s="176">
        <f t="shared" si="21"/>
        <v>5.1486017687999999</v>
      </c>
      <c r="AM46" s="177"/>
      <c r="AN46" s="718">
        <f>'Sam-Pojazdy-WSAD'!AP53</f>
        <v>0</v>
      </c>
      <c r="AO46" s="720">
        <v>1</v>
      </c>
      <c r="AP46" s="177"/>
      <c r="AQ46" s="177"/>
      <c r="AR46" s="177"/>
      <c r="AS46" s="177"/>
      <c r="AT46" s="177"/>
      <c r="AU46" s="177"/>
      <c r="AV46" s="177"/>
      <c r="AW46" s="177"/>
      <c r="AX46" s="177"/>
      <c r="AY46" s="177"/>
      <c r="AZ46" s="177"/>
      <c r="BA46" s="177"/>
    </row>
    <row r="47" spans="1:53" s="178" customFormat="1">
      <c r="A47" s="145"/>
      <c r="B47" s="713" t="str">
        <f>'Sam-Pojazdy-WSAD'!B47</f>
        <v>Wydział Edukacji, Urząd Miasta Bydgoszczy  - bursy, schroniska</v>
      </c>
      <c r="C47" s="726" t="str">
        <f>'Sam-Pojazdy-WSAD'!C47</f>
        <v>WE</v>
      </c>
      <c r="D47" s="169">
        <f>$AO47*'Sam-Pojazdy-WSAD'!D47</f>
        <v>773</v>
      </c>
      <c r="E47" s="170">
        <f>$AO47*'Sam-Pojazdy-WSAD'!E47</f>
        <v>3005.14</v>
      </c>
      <c r="F47" s="171">
        <f>D47*'Wskazniki emisji paliw'!L$19</f>
        <v>1.8541202736</v>
      </c>
      <c r="G47" s="169">
        <f>$AO47*'Sam-Pojazdy-WSAD'!H47</f>
        <v>0</v>
      </c>
      <c r="H47" s="170">
        <f>$AO47*'Sam-Pojazdy-WSAD'!I47</f>
        <v>0</v>
      </c>
      <c r="I47" s="171">
        <f>G47*'Wskazniki emisji paliw'!L$18</f>
        <v>0</v>
      </c>
      <c r="J47" s="169">
        <f>$AO47*'Sam-Pojazdy-WSAD'!L47</f>
        <v>0</v>
      </c>
      <c r="K47" s="170">
        <f>$AO47*'Sam-Pojazdy-WSAD'!M47</f>
        <v>0</v>
      </c>
      <c r="L47" s="171">
        <f>J47*'Wskazniki emisji paliw'!$L$28</f>
        <v>0</v>
      </c>
      <c r="M47" s="169">
        <f>$AO47*'Sam-Pojazdy-WSAD'!O47</f>
        <v>0</v>
      </c>
      <c r="N47" s="170">
        <f>$AO47*'Sam-Pojazdy-WSAD'!P47</f>
        <v>0</v>
      </c>
      <c r="O47" s="171">
        <f>M47*'Wskazniki emisji paliw'!M$29</f>
        <v>0</v>
      </c>
      <c r="P47" s="169">
        <f>$AO47*'Sam-Pojazdy-WSAD'!R47</f>
        <v>0</v>
      </c>
      <c r="Q47" s="170">
        <f>$AO47*'Sam-Pojazdy-WSAD'!S47</f>
        <v>0</v>
      </c>
      <c r="R47" s="171">
        <f>P47*'Wskazniki emisji paliw'!L$21</f>
        <v>0</v>
      </c>
      <c r="S47" s="169">
        <f>$AO47*'Sam-Pojazdy-WSAD'!U47</f>
        <v>0</v>
      </c>
      <c r="T47" s="170">
        <f>$AO47*'Sam-Pojazdy-WSAD'!V47</f>
        <v>0</v>
      </c>
      <c r="U47" s="171">
        <f>S47*'Wskazniki emisji paliw'!L$19*(1-U$6)</f>
        <v>0</v>
      </c>
      <c r="V47" s="169">
        <f>$AO47*'Sam-Pojazdy-WSAD'!X47</f>
        <v>0</v>
      </c>
      <c r="W47" s="170">
        <f>$AO47*'Sam-Pojazdy-WSAD'!Y47</f>
        <v>0</v>
      </c>
      <c r="X47" s="171">
        <f>V47*'Wskazniki emisji paliw'!L$18*(1-X$6)</f>
        <v>0</v>
      </c>
      <c r="Y47" s="169">
        <f>$AO47*'Sam-Pojazdy-WSAD'!AA47</f>
        <v>0</v>
      </c>
      <c r="Z47" s="170">
        <f>$AO47*'Sam-Pojazdy-WSAD'!AB47</f>
        <v>0</v>
      </c>
      <c r="AA47" s="171">
        <f>Y47*(HLOOKUP(Ogolne!$D$6,'Wskazniki emisji elektrycznosc'!$B$8:$G$29,Ogolne!$E$7,TRUE))/1000</f>
        <v>0</v>
      </c>
      <c r="AB47" s="145"/>
      <c r="AC47" s="167" t="str">
        <f t="shared" si="14"/>
        <v>Wydział Edukacji, Urząd Miasta Bydgoszczy  - bursy, schroniska</v>
      </c>
      <c r="AD47" s="167" t="str">
        <f t="shared" si="15"/>
        <v>WE</v>
      </c>
      <c r="AE47" s="172">
        <f>'Sam-Pojazdy-WSAD'!AG47</f>
        <v>0</v>
      </c>
      <c r="AF47" s="172">
        <f>'Sam-Pojazdy-WSAD'!AH47</f>
        <v>0</v>
      </c>
      <c r="AG47" s="170">
        <f t="shared" si="16"/>
        <v>3005.14</v>
      </c>
      <c r="AH47" s="171">
        <f t="shared" si="17"/>
        <v>1.8541202736</v>
      </c>
      <c r="AI47" s="173" t="str">
        <f t="shared" si="18"/>
        <v/>
      </c>
      <c r="AJ47" s="174" t="str">
        <f t="shared" si="19"/>
        <v/>
      </c>
      <c r="AK47" s="175" t="str">
        <f t="shared" si="20"/>
        <v/>
      </c>
      <c r="AL47" s="176" t="str">
        <f t="shared" si="21"/>
        <v/>
      </c>
      <c r="AM47" s="177"/>
      <c r="AN47" s="718">
        <f>'Sam-Pojazdy-WSAD'!AP54</f>
        <v>0</v>
      </c>
      <c r="AO47" s="720">
        <v>1</v>
      </c>
      <c r="AP47" s="177"/>
      <c r="AQ47" s="177"/>
      <c r="AR47" s="177"/>
      <c r="AS47" s="177"/>
      <c r="AT47" s="177"/>
      <c r="AU47" s="177"/>
      <c r="AV47" s="177"/>
      <c r="AW47" s="177"/>
      <c r="AX47" s="177"/>
      <c r="AY47" s="177"/>
      <c r="AZ47" s="177"/>
      <c r="BA47" s="177"/>
    </row>
    <row r="48" spans="1:53" s="178" customFormat="1">
      <c r="A48" s="145"/>
      <c r="B48" s="713" t="str">
        <f>'Sam-Pojazdy-WSAD'!B48</f>
        <v>Wydział Edukacji, Urząd Miasta Bydgoszczy  - gimnazja</v>
      </c>
      <c r="C48" s="726" t="str">
        <f>'Sam-Pojazdy-WSAD'!C48</f>
        <v>WE</v>
      </c>
      <c r="D48" s="169">
        <f>$AO48*'Sam-Pojazdy-WSAD'!D48</f>
        <v>0</v>
      </c>
      <c r="E48" s="170">
        <f>$AO48*'Sam-Pojazdy-WSAD'!E48</f>
        <v>0</v>
      </c>
      <c r="F48" s="171">
        <f>D48*'Wskazniki emisji paliw'!L$19</f>
        <v>0</v>
      </c>
      <c r="G48" s="169">
        <f>$AO48*'Sam-Pojazdy-WSAD'!H48</f>
        <v>0</v>
      </c>
      <c r="H48" s="170">
        <f>$AO48*'Sam-Pojazdy-WSAD'!I48</f>
        <v>0</v>
      </c>
      <c r="I48" s="171">
        <f>G48*'Wskazniki emisji paliw'!L$18</f>
        <v>0</v>
      </c>
      <c r="J48" s="169">
        <f>$AO48*'Sam-Pojazdy-WSAD'!L48</f>
        <v>0</v>
      </c>
      <c r="K48" s="170">
        <f>$AO48*'Sam-Pojazdy-WSAD'!M48</f>
        <v>0</v>
      </c>
      <c r="L48" s="171">
        <f>J48*'Wskazniki emisji paliw'!$L$28</f>
        <v>0</v>
      </c>
      <c r="M48" s="169">
        <f>$AO48*'Sam-Pojazdy-WSAD'!O48</f>
        <v>0</v>
      </c>
      <c r="N48" s="170">
        <f>$AO48*'Sam-Pojazdy-WSAD'!P48</f>
        <v>0</v>
      </c>
      <c r="O48" s="171">
        <f>M48*'Wskazniki emisji paliw'!M$29</f>
        <v>0</v>
      </c>
      <c r="P48" s="169">
        <f>$AO48*'Sam-Pojazdy-WSAD'!R48</f>
        <v>0</v>
      </c>
      <c r="Q48" s="170">
        <f>$AO48*'Sam-Pojazdy-WSAD'!S48</f>
        <v>0</v>
      </c>
      <c r="R48" s="171">
        <f>P48*'Wskazniki emisji paliw'!L$21</f>
        <v>0</v>
      </c>
      <c r="S48" s="169">
        <f>$AO48*'Sam-Pojazdy-WSAD'!U48</f>
        <v>0</v>
      </c>
      <c r="T48" s="170">
        <f>$AO48*'Sam-Pojazdy-WSAD'!V48</f>
        <v>0</v>
      </c>
      <c r="U48" s="171">
        <f>S48*'Wskazniki emisji paliw'!L$19*(1-U$6)</f>
        <v>0</v>
      </c>
      <c r="V48" s="169">
        <f>$AO48*'Sam-Pojazdy-WSAD'!X48</f>
        <v>0</v>
      </c>
      <c r="W48" s="170">
        <f>$AO48*'Sam-Pojazdy-WSAD'!Y48</f>
        <v>0</v>
      </c>
      <c r="X48" s="171">
        <f>V48*'Wskazniki emisji paliw'!L$18*(1-X$6)</f>
        <v>0</v>
      </c>
      <c r="Y48" s="169">
        <f>$AO48*'Sam-Pojazdy-WSAD'!AA48</f>
        <v>0</v>
      </c>
      <c r="Z48" s="170">
        <f>$AO48*'Sam-Pojazdy-WSAD'!AB48</f>
        <v>0</v>
      </c>
      <c r="AA48" s="171">
        <f>Y48*(HLOOKUP(Ogolne!$D$6,'Wskazniki emisji elektrycznosc'!$B$8:$G$29,Ogolne!$E$7,TRUE))/1000</f>
        <v>0</v>
      </c>
      <c r="AB48" s="145"/>
      <c r="AC48" s="167" t="str">
        <f t="shared" si="14"/>
        <v>Wydział Edukacji, Urząd Miasta Bydgoszczy  - gimnazja</v>
      </c>
      <c r="AD48" s="167" t="str">
        <f t="shared" si="15"/>
        <v>WE</v>
      </c>
      <c r="AE48" s="172">
        <f>'Sam-Pojazdy-WSAD'!AG48</f>
        <v>0</v>
      </c>
      <c r="AF48" s="172">
        <f>'Sam-Pojazdy-WSAD'!AH48</f>
        <v>0</v>
      </c>
      <c r="AG48" s="170">
        <f t="shared" si="16"/>
        <v>0</v>
      </c>
      <c r="AH48" s="171">
        <f t="shared" si="17"/>
        <v>0</v>
      </c>
      <c r="AI48" s="173" t="str">
        <f t="shared" si="18"/>
        <v/>
      </c>
      <c r="AJ48" s="174" t="str">
        <f t="shared" si="19"/>
        <v/>
      </c>
      <c r="AK48" s="175" t="str">
        <f t="shared" si="20"/>
        <v/>
      </c>
      <c r="AL48" s="176" t="str">
        <f t="shared" si="21"/>
        <v/>
      </c>
      <c r="AM48" s="177"/>
      <c r="AN48" s="718">
        <f>'Sam-Pojazdy-WSAD'!AP55</f>
        <v>0</v>
      </c>
      <c r="AO48" s="720">
        <v>1</v>
      </c>
      <c r="AP48" s="177"/>
      <c r="AQ48" s="177"/>
      <c r="AR48" s="177"/>
      <c r="AS48" s="177"/>
      <c r="AT48" s="177"/>
      <c r="AU48" s="177"/>
      <c r="AV48" s="177"/>
      <c r="AW48" s="177"/>
      <c r="AX48" s="177"/>
      <c r="AY48" s="177"/>
      <c r="AZ48" s="177"/>
      <c r="BA48" s="177"/>
    </row>
    <row r="49" spans="1:53" s="178" customFormat="1">
      <c r="A49" s="145"/>
      <c r="B49" s="713" t="str">
        <f>'Sam-Pojazdy-WSAD'!B49</f>
        <v>Wydział Edukacji, Urząd Miasta Bydgoszczy  - inne szkoły</v>
      </c>
      <c r="C49" s="726" t="str">
        <f>'Sam-Pojazdy-WSAD'!C49</f>
        <v>WE</v>
      </c>
      <c r="D49" s="169">
        <f>$AO49*'Sam-Pojazdy-WSAD'!D49</f>
        <v>0</v>
      </c>
      <c r="E49" s="170">
        <f>$AO49*'Sam-Pojazdy-WSAD'!E49</f>
        <v>0</v>
      </c>
      <c r="F49" s="171">
        <f>D49*'Wskazniki emisji paliw'!L$19</f>
        <v>0</v>
      </c>
      <c r="G49" s="169">
        <f>$AO49*'Sam-Pojazdy-WSAD'!H49</f>
        <v>1370</v>
      </c>
      <c r="H49" s="170">
        <f>$AO49*'Sam-Pojazdy-WSAD'!I49</f>
        <v>4706.49</v>
      </c>
      <c r="I49" s="171">
        <f>G49*'Wskazniki emisji paliw'!L$18</f>
        <v>3.6677977620059989</v>
      </c>
      <c r="J49" s="169">
        <f>$AO49*'Sam-Pojazdy-WSAD'!L49</f>
        <v>0</v>
      </c>
      <c r="K49" s="170">
        <f>$AO49*'Sam-Pojazdy-WSAD'!M49</f>
        <v>0</v>
      </c>
      <c r="L49" s="171">
        <f>J49*'Wskazniki emisji paliw'!$L$28</f>
        <v>0</v>
      </c>
      <c r="M49" s="169">
        <f>$AO49*'Sam-Pojazdy-WSAD'!O49</f>
        <v>0</v>
      </c>
      <c r="N49" s="170">
        <f>$AO49*'Sam-Pojazdy-WSAD'!P49</f>
        <v>0</v>
      </c>
      <c r="O49" s="171">
        <f>M49*'Wskazniki emisji paliw'!M$29</f>
        <v>0</v>
      </c>
      <c r="P49" s="169">
        <f>$AO49*'Sam-Pojazdy-WSAD'!R49</f>
        <v>0</v>
      </c>
      <c r="Q49" s="170">
        <f>$AO49*'Sam-Pojazdy-WSAD'!S49</f>
        <v>0</v>
      </c>
      <c r="R49" s="171">
        <f>P49*'Wskazniki emisji paliw'!L$21</f>
        <v>0</v>
      </c>
      <c r="S49" s="169">
        <f>$AO49*'Sam-Pojazdy-WSAD'!U49</f>
        <v>0</v>
      </c>
      <c r="T49" s="170">
        <f>$AO49*'Sam-Pojazdy-WSAD'!V49</f>
        <v>0</v>
      </c>
      <c r="U49" s="171">
        <f>S49*'Wskazniki emisji paliw'!L$19*(1-U$6)</f>
        <v>0</v>
      </c>
      <c r="V49" s="169">
        <f>$AO49*'Sam-Pojazdy-WSAD'!X49</f>
        <v>0</v>
      </c>
      <c r="W49" s="170">
        <f>$AO49*'Sam-Pojazdy-WSAD'!Y49</f>
        <v>0</v>
      </c>
      <c r="X49" s="171">
        <f>V49*'Wskazniki emisji paliw'!L$18*(1-X$6)</f>
        <v>0</v>
      </c>
      <c r="Y49" s="169">
        <f>$AO49*'Sam-Pojazdy-WSAD'!AA49</f>
        <v>0</v>
      </c>
      <c r="Z49" s="170">
        <f>$AO49*'Sam-Pojazdy-WSAD'!AB49</f>
        <v>0</v>
      </c>
      <c r="AA49" s="171">
        <f>Y49*(HLOOKUP(Ogolne!$D$6,'Wskazniki emisji elektrycznosc'!$B$8:$G$29,Ogolne!$E$7,TRUE))/1000</f>
        <v>0</v>
      </c>
      <c r="AB49" s="145"/>
      <c r="AC49" s="167" t="str">
        <f t="shared" si="14"/>
        <v>Wydział Edukacji, Urząd Miasta Bydgoszczy  - inne szkoły</v>
      </c>
      <c r="AD49" s="167" t="str">
        <f t="shared" si="15"/>
        <v>WE</v>
      </c>
      <c r="AE49" s="172">
        <f>'Sam-Pojazdy-WSAD'!AG49</f>
        <v>0</v>
      </c>
      <c r="AF49" s="172">
        <f>'Sam-Pojazdy-WSAD'!AH49</f>
        <v>0</v>
      </c>
      <c r="AG49" s="170">
        <f t="shared" si="16"/>
        <v>4706.49</v>
      </c>
      <c r="AH49" s="171">
        <f t="shared" si="17"/>
        <v>3.6677977620059989</v>
      </c>
      <c r="AI49" s="173" t="str">
        <f t="shared" si="18"/>
        <v/>
      </c>
      <c r="AJ49" s="174" t="str">
        <f t="shared" si="19"/>
        <v/>
      </c>
      <c r="AK49" s="175" t="str">
        <f t="shared" si="20"/>
        <v/>
      </c>
      <c r="AL49" s="176" t="str">
        <f t="shared" si="21"/>
        <v/>
      </c>
      <c r="AM49" s="177"/>
      <c r="AN49" s="718">
        <f>'Sam-Pojazdy-WSAD'!AP56</f>
        <v>0</v>
      </c>
      <c r="AO49" s="720">
        <v>1</v>
      </c>
      <c r="AP49" s="177"/>
      <c r="AQ49" s="177"/>
      <c r="AR49" s="177"/>
      <c r="AS49" s="177"/>
      <c r="AT49" s="177"/>
      <c r="AU49" s="177"/>
      <c r="AV49" s="177"/>
      <c r="AW49" s="177"/>
      <c r="AX49" s="177"/>
      <c r="AY49" s="177"/>
      <c r="AZ49" s="177"/>
      <c r="BA49" s="177"/>
    </row>
    <row r="50" spans="1:53" s="178" customFormat="1">
      <c r="A50" s="145"/>
      <c r="B50" s="713" t="str">
        <f>'Sam-Pojazdy-WSAD'!B50</f>
        <v>Wydział Edukacji, Urząd Miasta Bydgoszczy  - MDK</v>
      </c>
      <c r="C50" s="726" t="str">
        <f>'Sam-Pojazdy-WSAD'!C50</f>
        <v>WE</v>
      </c>
      <c r="D50" s="169">
        <f>$AO50*'Sam-Pojazdy-WSAD'!D50</f>
        <v>1177</v>
      </c>
      <c r="E50" s="170">
        <f>$AO50*'Sam-Pojazdy-WSAD'!E50</f>
        <v>4511.7299999999996</v>
      </c>
      <c r="F50" s="171">
        <f>D50*'Wskazniki emisji paliw'!L$19</f>
        <v>2.8231559663999999</v>
      </c>
      <c r="G50" s="169">
        <f>$AO50*'Sam-Pojazdy-WSAD'!H50</f>
        <v>3116.5</v>
      </c>
      <c r="H50" s="170">
        <f>$AO50*'Sam-Pojazdy-WSAD'!I50</f>
        <v>11411.71</v>
      </c>
      <c r="I50" s="171">
        <f>G50*'Wskazniki emisji paliw'!L$18</f>
        <v>8.3435706024026981</v>
      </c>
      <c r="J50" s="169">
        <f>$AO50*'Sam-Pojazdy-WSAD'!L50</f>
        <v>0</v>
      </c>
      <c r="K50" s="170">
        <f>$AO50*'Sam-Pojazdy-WSAD'!M50</f>
        <v>0</v>
      </c>
      <c r="L50" s="171">
        <f>J50*'Wskazniki emisji paliw'!$L$28</f>
        <v>0</v>
      </c>
      <c r="M50" s="169">
        <f>$AO50*'Sam-Pojazdy-WSAD'!O50</f>
        <v>0</v>
      </c>
      <c r="N50" s="170">
        <f>$AO50*'Sam-Pojazdy-WSAD'!P50</f>
        <v>0</v>
      </c>
      <c r="O50" s="171">
        <f>M50*'Wskazniki emisji paliw'!M$29</f>
        <v>0</v>
      </c>
      <c r="P50" s="169">
        <f>$AO50*'Sam-Pojazdy-WSAD'!R50</f>
        <v>0</v>
      </c>
      <c r="Q50" s="170">
        <f>$AO50*'Sam-Pojazdy-WSAD'!S50</f>
        <v>0</v>
      </c>
      <c r="R50" s="171">
        <f>P50*'Wskazniki emisji paliw'!L$21</f>
        <v>0</v>
      </c>
      <c r="S50" s="169">
        <f>$AO50*'Sam-Pojazdy-WSAD'!U50</f>
        <v>0</v>
      </c>
      <c r="T50" s="170">
        <f>$AO50*'Sam-Pojazdy-WSAD'!V50</f>
        <v>0</v>
      </c>
      <c r="U50" s="171">
        <f>S50*'Wskazniki emisji paliw'!L$19*(1-U$6)</f>
        <v>0</v>
      </c>
      <c r="V50" s="169">
        <f>$AO50*'Sam-Pojazdy-WSAD'!X50</f>
        <v>0</v>
      </c>
      <c r="W50" s="170">
        <f>$AO50*'Sam-Pojazdy-WSAD'!Y50</f>
        <v>0</v>
      </c>
      <c r="X50" s="171">
        <f>V50*'Wskazniki emisji paliw'!L$18*(1-X$6)</f>
        <v>0</v>
      </c>
      <c r="Y50" s="169">
        <f>$AO50*'Sam-Pojazdy-WSAD'!AA50</f>
        <v>0</v>
      </c>
      <c r="Z50" s="170">
        <f>$AO50*'Sam-Pojazdy-WSAD'!AB50</f>
        <v>0</v>
      </c>
      <c r="AA50" s="171">
        <f>Y50*(HLOOKUP(Ogolne!$D$6,'Wskazniki emisji elektrycznosc'!$B$8:$G$29,Ogolne!$E$7,TRUE))/1000</f>
        <v>0</v>
      </c>
      <c r="AB50" s="145"/>
      <c r="AC50" s="167" t="str">
        <f t="shared" si="14"/>
        <v>Wydział Edukacji, Urząd Miasta Bydgoszczy  - MDK</v>
      </c>
      <c r="AD50" s="167" t="str">
        <f t="shared" si="15"/>
        <v>WE</v>
      </c>
      <c r="AE50" s="172">
        <f>'Sam-Pojazdy-WSAD'!AG50</f>
        <v>15</v>
      </c>
      <c r="AF50" s="172">
        <f>'Sam-Pojazdy-WSAD'!AH50</f>
        <v>145028</v>
      </c>
      <c r="AG50" s="170">
        <f t="shared" si="16"/>
        <v>15923.439999999999</v>
      </c>
      <c r="AH50" s="171">
        <f t="shared" si="17"/>
        <v>11.166726568802698</v>
      </c>
      <c r="AI50" s="173">
        <f t="shared" si="18"/>
        <v>0.10979562567228396</v>
      </c>
      <c r="AJ50" s="174">
        <f t="shared" si="19"/>
        <v>1061.5626666666665</v>
      </c>
      <c r="AK50" s="175">
        <f t="shared" si="20"/>
        <v>7.6997038977319536E-5</v>
      </c>
      <c r="AL50" s="176">
        <f t="shared" si="21"/>
        <v>0.7444484379201799</v>
      </c>
      <c r="AM50" s="177"/>
      <c r="AN50" s="718">
        <f>'Sam-Pojazdy-WSAD'!AP57</f>
        <v>0</v>
      </c>
      <c r="AO50" s="720">
        <v>1</v>
      </c>
      <c r="AP50" s="177"/>
      <c r="AQ50" s="177"/>
      <c r="AR50" s="177"/>
      <c r="AS50" s="177"/>
      <c r="AT50" s="177"/>
      <c r="AU50" s="177"/>
      <c r="AV50" s="177"/>
      <c r="AW50" s="177"/>
      <c r="AX50" s="177"/>
      <c r="AY50" s="177"/>
      <c r="AZ50" s="177"/>
      <c r="BA50" s="177"/>
    </row>
    <row r="51" spans="1:53" s="178" customFormat="1">
      <c r="A51" s="145"/>
      <c r="B51" s="713" t="str">
        <f>'Sam-Pojazdy-WSAD'!B51</f>
        <v>Wydział Edukacji, Urząd Miasta Bydgoszczy  - ośrodki</v>
      </c>
      <c r="C51" s="726" t="str">
        <f>'Sam-Pojazdy-WSAD'!C51</f>
        <v>WE</v>
      </c>
      <c r="D51" s="169">
        <f>$AO51*'Sam-Pojazdy-WSAD'!D51</f>
        <v>0</v>
      </c>
      <c r="E51" s="170">
        <f>$AO51*'Sam-Pojazdy-WSAD'!E51</f>
        <v>0</v>
      </c>
      <c r="F51" s="171">
        <f>D51*'Wskazniki emisji paliw'!L$19</f>
        <v>0</v>
      </c>
      <c r="G51" s="169">
        <f>$AO51*'Sam-Pojazdy-WSAD'!H51</f>
        <v>0</v>
      </c>
      <c r="H51" s="170">
        <f>$AO51*'Sam-Pojazdy-WSAD'!I51</f>
        <v>0</v>
      </c>
      <c r="I51" s="171">
        <f>G51*'Wskazniki emisji paliw'!L$18</f>
        <v>0</v>
      </c>
      <c r="J51" s="169">
        <f>$AO51*'Sam-Pojazdy-WSAD'!L51</f>
        <v>0</v>
      </c>
      <c r="K51" s="170">
        <f>$AO51*'Sam-Pojazdy-WSAD'!M51</f>
        <v>0</v>
      </c>
      <c r="L51" s="171">
        <f>J51*'Wskazniki emisji paliw'!$L$28</f>
        <v>0</v>
      </c>
      <c r="M51" s="169">
        <f>$AO51*'Sam-Pojazdy-WSAD'!O51</f>
        <v>0</v>
      </c>
      <c r="N51" s="170">
        <f>$AO51*'Sam-Pojazdy-WSAD'!P51</f>
        <v>0</v>
      </c>
      <c r="O51" s="171">
        <f>M51*'Wskazniki emisji paliw'!M$29</f>
        <v>0</v>
      </c>
      <c r="P51" s="169">
        <f>$AO51*'Sam-Pojazdy-WSAD'!R51</f>
        <v>0</v>
      </c>
      <c r="Q51" s="170">
        <f>$AO51*'Sam-Pojazdy-WSAD'!S51</f>
        <v>0</v>
      </c>
      <c r="R51" s="171">
        <f>P51*'Wskazniki emisji paliw'!L$21</f>
        <v>0</v>
      </c>
      <c r="S51" s="169">
        <f>$AO51*'Sam-Pojazdy-WSAD'!U51</f>
        <v>0</v>
      </c>
      <c r="T51" s="170">
        <f>$AO51*'Sam-Pojazdy-WSAD'!V51</f>
        <v>0</v>
      </c>
      <c r="U51" s="171">
        <f>S51*'Wskazniki emisji paliw'!L$19*(1-U$6)</f>
        <v>0</v>
      </c>
      <c r="V51" s="169">
        <f>$AO51*'Sam-Pojazdy-WSAD'!X51</f>
        <v>0</v>
      </c>
      <c r="W51" s="170">
        <f>$AO51*'Sam-Pojazdy-WSAD'!Y51</f>
        <v>0</v>
      </c>
      <c r="X51" s="171">
        <f>V51*'Wskazniki emisji paliw'!L$18*(1-X$6)</f>
        <v>0</v>
      </c>
      <c r="Y51" s="169">
        <f>$AO51*'Sam-Pojazdy-WSAD'!AA51</f>
        <v>0</v>
      </c>
      <c r="Z51" s="170">
        <f>$AO51*'Sam-Pojazdy-WSAD'!AB51</f>
        <v>0</v>
      </c>
      <c r="AA51" s="171">
        <f>Y51*(HLOOKUP(Ogolne!$D$6,'Wskazniki emisji elektrycznosc'!$B$8:$G$29,Ogolne!$E$7,TRUE))/1000</f>
        <v>0</v>
      </c>
      <c r="AB51" s="145"/>
      <c r="AC51" s="167" t="str">
        <f t="shared" si="14"/>
        <v>Wydział Edukacji, Urząd Miasta Bydgoszczy  - ośrodki</v>
      </c>
      <c r="AD51" s="167" t="str">
        <f t="shared" si="15"/>
        <v>WE</v>
      </c>
      <c r="AE51" s="172">
        <f>'Sam-Pojazdy-WSAD'!AG51</f>
        <v>1</v>
      </c>
      <c r="AF51" s="172">
        <f>'Sam-Pojazdy-WSAD'!AH51</f>
        <v>12338</v>
      </c>
      <c r="AG51" s="170">
        <f t="shared" si="16"/>
        <v>0</v>
      </c>
      <c r="AH51" s="171">
        <f t="shared" si="17"/>
        <v>0</v>
      </c>
      <c r="AI51" s="173">
        <f t="shared" si="18"/>
        <v>0</v>
      </c>
      <c r="AJ51" s="174">
        <f t="shared" si="19"/>
        <v>0</v>
      </c>
      <c r="AK51" s="175">
        <f t="shared" si="20"/>
        <v>0</v>
      </c>
      <c r="AL51" s="176">
        <f t="shared" si="21"/>
        <v>0</v>
      </c>
      <c r="AM51" s="177"/>
      <c r="AN51" s="718">
        <f>'Sam-Pojazdy-WSAD'!AP58</f>
        <v>0</v>
      </c>
      <c r="AO51" s="720">
        <v>1</v>
      </c>
      <c r="AP51" s="177"/>
      <c r="AQ51" s="177"/>
      <c r="AR51" s="177"/>
      <c r="AS51" s="177"/>
      <c r="AT51" s="177"/>
      <c r="AU51" s="177"/>
      <c r="AV51" s="177"/>
      <c r="AW51" s="177"/>
      <c r="AX51" s="177"/>
      <c r="AY51" s="177"/>
      <c r="AZ51" s="177"/>
      <c r="BA51" s="177"/>
    </row>
    <row r="52" spans="1:53" s="178" customFormat="1">
      <c r="A52" s="145"/>
      <c r="B52" s="713" t="str">
        <f>'Sam-Pojazdy-WSAD'!B52</f>
        <v>Wydział Edukacji, Urząd Miasta Bydgoszczy  - poradnie</v>
      </c>
      <c r="C52" s="726" t="str">
        <f>'Sam-Pojazdy-WSAD'!C52</f>
        <v>WE</v>
      </c>
      <c r="D52" s="169">
        <f>$AO52*'Sam-Pojazdy-WSAD'!D52</f>
        <v>0</v>
      </c>
      <c r="E52" s="170">
        <f>$AO52*'Sam-Pojazdy-WSAD'!E52</f>
        <v>0</v>
      </c>
      <c r="F52" s="171">
        <f>D52*'Wskazniki emisji paliw'!L$19</f>
        <v>0</v>
      </c>
      <c r="G52" s="169">
        <f>$AO52*'Sam-Pojazdy-WSAD'!H52</f>
        <v>0</v>
      </c>
      <c r="H52" s="170">
        <f>$AO52*'Sam-Pojazdy-WSAD'!I52</f>
        <v>0</v>
      </c>
      <c r="I52" s="171">
        <f>G52*'Wskazniki emisji paliw'!L$18</f>
        <v>0</v>
      </c>
      <c r="J52" s="169">
        <f>$AO52*'Sam-Pojazdy-WSAD'!L52</f>
        <v>0</v>
      </c>
      <c r="K52" s="170">
        <f>$AO52*'Sam-Pojazdy-WSAD'!M52</f>
        <v>0</v>
      </c>
      <c r="L52" s="171">
        <f>J52*'Wskazniki emisji paliw'!$L$28</f>
        <v>0</v>
      </c>
      <c r="M52" s="169">
        <f>$AO52*'Sam-Pojazdy-WSAD'!O52</f>
        <v>0</v>
      </c>
      <c r="N52" s="170">
        <f>$AO52*'Sam-Pojazdy-WSAD'!P52</f>
        <v>0</v>
      </c>
      <c r="O52" s="171">
        <f>M52*'Wskazniki emisji paliw'!M$29</f>
        <v>0</v>
      </c>
      <c r="P52" s="169">
        <f>$AO52*'Sam-Pojazdy-WSAD'!R52</f>
        <v>0</v>
      </c>
      <c r="Q52" s="170">
        <f>$AO52*'Sam-Pojazdy-WSAD'!S52</f>
        <v>0</v>
      </c>
      <c r="R52" s="171">
        <f>P52*'Wskazniki emisji paliw'!L$21</f>
        <v>0</v>
      </c>
      <c r="S52" s="169">
        <f>$AO52*'Sam-Pojazdy-WSAD'!U52</f>
        <v>0</v>
      </c>
      <c r="T52" s="170">
        <f>$AO52*'Sam-Pojazdy-WSAD'!V52</f>
        <v>0</v>
      </c>
      <c r="U52" s="171">
        <f>S52*'Wskazniki emisji paliw'!L$19*(1-U$6)</f>
        <v>0</v>
      </c>
      <c r="V52" s="169">
        <f>$AO52*'Sam-Pojazdy-WSAD'!X52</f>
        <v>0</v>
      </c>
      <c r="W52" s="170">
        <f>$AO52*'Sam-Pojazdy-WSAD'!Y52</f>
        <v>0</v>
      </c>
      <c r="X52" s="171">
        <f>V52*'Wskazniki emisji paliw'!L$18*(1-X$6)</f>
        <v>0</v>
      </c>
      <c r="Y52" s="169">
        <f>$AO52*'Sam-Pojazdy-WSAD'!AA52</f>
        <v>0</v>
      </c>
      <c r="Z52" s="170">
        <f>$AO52*'Sam-Pojazdy-WSAD'!AB52</f>
        <v>0</v>
      </c>
      <c r="AA52" s="171">
        <f>Y52*(HLOOKUP(Ogolne!$D$6,'Wskazniki emisji elektrycznosc'!$B$8:$G$29,Ogolne!$E$7,TRUE))/1000</f>
        <v>0</v>
      </c>
      <c r="AB52" s="145"/>
      <c r="AC52" s="167" t="str">
        <f t="shared" si="14"/>
        <v>Wydział Edukacji, Urząd Miasta Bydgoszczy  - poradnie</v>
      </c>
      <c r="AD52" s="167" t="str">
        <f t="shared" si="15"/>
        <v>WE</v>
      </c>
      <c r="AE52" s="172">
        <f>'Sam-Pojazdy-WSAD'!AG52</f>
        <v>1</v>
      </c>
      <c r="AF52" s="172">
        <f>'Sam-Pojazdy-WSAD'!AH52</f>
        <v>5949</v>
      </c>
      <c r="AG52" s="170">
        <f t="shared" si="16"/>
        <v>0</v>
      </c>
      <c r="AH52" s="171">
        <f t="shared" si="17"/>
        <v>0</v>
      </c>
      <c r="AI52" s="173">
        <f t="shared" si="18"/>
        <v>0</v>
      </c>
      <c r="AJ52" s="174">
        <f t="shared" si="19"/>
        <v>0</v>
      </c>
      <c r="AK52" s="175">
        <f t="shared" si="20"/>
        <v>0</v>
      </c>
      <c r="AL52" s="176">
        <f t="shared" si="21"/>
        <v>0</v>
      </c>
      <c r="AM52" s="177"/>
      <c r="AN52" s="718">
        <f>'Sam-Pojazdy-WSAD'!AP60</f>
        <v>0</v>
      </c>
      <c r="AO52" s="720">
        <v>1</v>
      </c>
      <c r="AP52" s="177"/>
      <c r="AQ52" s="177"/>
      <c r="AR52" s="177"/>
      <c r="AS52" s="177"/>
      <c r="AT52" s="177"/>
      <c r="AU52" s="177"/>
      <c r="AV52" s="177"/>
      <c r="AW52" s="177"/>
      <c r="AX52" s="177"/>
      <c r="AY52" s="177"/>
      <c r="AZ52" s="177"/>
      <c r="BA52" s="177"/>
    </row>
    <row r="53" spans="1:53" s="178" customFormat="1">
      <c r="A53" s="145"/>
      <c r="B53" s="713" t="str">
        <f>'Sam-Pojazdy-WSAD'!B53</f>
        <v>Wydział Edukacji, Urząd Miasta Bydgoszczy  - przedszkola</v>
      </c>
      <c r="C53" s="726" t="str">
        <f>'Sam-Pojazdy-WSAD'!C53</f>
        <v>WE</v>
      </c>
      <c r="D53" s="169">
        <f>$AO53*'Sam-Pojazdy-WSAD'!D53</f>
        <v>0</v>
      </c>
      <c r="E53" s="170">
        <f>$AO53*'Sam-Pojazdy-WSAD'!E53</f>
        <v>0</v>
      </c>
      <c r="F53" s="171">
        <f>D53*'Wskazniki emisji paliw'!L$19</f>
        <v>0</v>
      </c>
      <c r="G53" s="169">
        <f>$AO53*'Sam-Pojazdy-WSAD'!H53</f>
        <v>0</v>
      </c>
      <c r="H53" s="170">
        <f>$AO53*'Sam-Pojazdy-WSAD'!I53</f>
        <v>0</v>
      </c>
      <c r="I53" s="171">
        <f>G53*'Wskazniki emisji paliw'!L$18</f>
        <v>0</v>
      </c>
      <c r="J53" s="169">
        <f>$AO53*'Sam-Pojazdy-WSAD'!L53</f>
        <v>0</v>
      </c>
      <c r="K53" s="170">
        <f>$AO53*'Sam-Pojazdy-WSAD'!M53</f>
        <v>0</v>
      </c>
      <c r="L53" s="171">
        <f>J53*'Wskazniki emisji paliw'!$L$28</f>
        <v>0</v>
      </c>
      <c r="M53" s="169">
        <f>$AO53*'Sam-Pojazdy-WSAD'!O53</f>
        <v>0</v>
      </c>
      <c r="N53" s="170">
        <f>$AO53*'Sam-Pojazdy-WSAD'!P53</f>
        <v>0</v>
      </c>
      <c r="O53" s="171">
        <f>M53*'Wskazniki emisji paliw'!M$29</f>
        <v>0</v>
      </c>
      <c r="P53" s="169">
        <f>$AO53*'Sam-Pojazdy-WSAD'!R53</f>
        <v>0</v>
      </c>
      <c r="Q53" s="170">
        <f>$AO53*'Sam-Pojazdy-WSAD'!S53</f>
        <v>0</v>
      </c>
      <c r="R53" s="171">
        <f>P53*'Wskazniki emisji paliw'!L$21</f>
        <v>0</v>
      </c>
      <c r="S53" s="169">
        <f>$AO53*'Sam-Pojazdy-WSAD'!U53</f>
        <v>0</v>
      </c>
      <c r="T53" s="170">
        <f>$AO53*'Sam-Pojazdy-WSAD'!V53</f>
        <v>0</v>
      </c>
      <c r="U53" s="171">
        <f>S53*'Wskazniki emisji paliw'!L$19*(1-U$6)</f>
        <v>0</v>
      </c>
      <c r="V53" s="169">
        <f>$AO53*'Sam-Pojazdy-WSAD'!X53</f>
        <v>0</v>
      </c>
      <c r="W53" s="170">
        <f>$AO53*'Sam-Pojazdy-WSAD'!Y53</f>
        <v>0</v>
      </c>
      <c r="X53" s="171">
        <f>V53*'Wskazniki emisji paliw'!L$18*(1-X$6)</f>
        <v>0</v>
      </c>
      <c r="Y53" s="169">
        <f>$AO53*'Sam-Pojazdy-WSAD'!AA53</f>
        <v>0</v>
      </c>
      <c r="Z53" s="170">
        <f>$AO53*'Sam-Pojazdy-WSAD'!AB53</f>
        <v>0</v>
      </c>
      <c r="AA53" s="171">
        <f>Y53*(HLOOKUP(Ogolne!$D$6,'Wskazniki emisji elektrycznosc'!$B$8:$G$29,Ogolne!$E$7,TRUE))/1000</f>
        <v>0</v>
      </c>
      <c r="AB53" s="145"/>
      <c r="AC53" s="167" t="str">
        <f t="shared" si="14"/>
        <v>Wydział Edukacji, Urząd Miasta Bydgoszczy  - przedszkola</v>
      </c>
      <c r="AD53" s="167" t="str">
        <f t="shared" si="15"/>
        <v>WE</v>
      </c>
      <c r="AE53" s="172">
        <f>'Sam-Pojazdy-WSAD'!AG53</f>
        <v>4</v>
      </c>
      <c r="AF53" s="172">
        <f>'Sam-Pojazdy-WSAD'!AH53</f>
        <v>34111</v>
      </c>
      <c r="AG53" s="170">
        <f t="shared" si="16"/>
        <v>0</v>
      </c>
      <c r="AH53" s="171">
        <f t="shared" si="17"/>
        <v>0</v>
      </c>
      <c r="AI53" s="173">
        <f t="shared" si="18"/>
        <v>0</v>
      </c>
      <c r="AJ53" s="174">
        <f t="shared" si="19"/>
        <v>0</v>
      </c>
      <c r="AK53" s="175">
        <f t="shared" si="20"/>
        <v>0</v>
      </c>
      <c r="AL53" s="176">
        <f t="shared" si="21"/>
        <v>0</v>
      </c>
      <c r="AM53" s="177"/>
      <c r="AN53" s="718">
        <f>'Sam-Pojazdy-WSAD'!AP61</f>
        <v>0</v>
      </c>
      <c r="AO53" s="720">
        <v>1</v>
      </c>
      <c r="AP53" s="177"/>
      <c r="AQ53" s="177"/>
      <c r="AR53" s="177"/>
      <c r="AS53" s="177"/>
      <c r="AT53" s="177"/>
      <c r="AU53" s="177"/>
      <c r="AV53" s="177"/>
      <c r="AW53" s="177"/>
      <c r="AX53" s="177"/>
      <c r="AY53" s="177"/>
      <c r="AZ53" s="177"/>
      <c r="BA53" s="177"/>
    </row>
    <row r="54" spans="1:53" s="178" customFormat="1">
      <c r="A54" s="145"/>
      <c r="B54" s="713" t="str">
        <f>'Sam-Pojazdy-WSAD'!B54</f>
        <v>Wydział Edukacji, Urząd Miasta Bydgoszczy  - szkoły podstawowe</v>
      </c>
      <c r="C54" s="726" t="str">
        <f>'Sam-Pojazdy-WSAD'!C54</f>
        <v>WE</v>
      </c>
      <c r="D54" s="169">
        <f>$AO54*'Sam-Pojazdy-WSAD'!D54</f>
        <v>0</v>
      </c>
      <c r="E54" s="170">
        <f>$AO54*'Sam-Pojazdy-WSAD'!E54</f>
        <v>0</v>
      </c>
      <c r="F54" s="171">
        <f>D54*'Wskazniki emisji paliw'!L$19</f>
        <v>0</v>
      </c>
      <c r="G54" s="169">
        <f>$AO54*'Sam-Pojazdy-WSAD'!H54</f>
        <v>0</v>
      </c>
      <c r="H54" s="170">
        <f>$AO54*'Sam-Pojazdy-WSAD'!I54</f>
        <v>0</v>
      </c>
      <c r="I54" s="171">
        <f>G54*'Wskazniki emisji paliw'!L$18</f>
        <v>0</v>
      </c>
      <c r="J54" s="169">
        <f>$AO54*'Sam-Pojazdy-WSAD'!L54</f>
        <v>0</v>
      </c>
      <c r="K54" s="170">
        <f>$AO54*'Sam-Pojazdy-WSAD'!M54</f>
        <v>0</v>
      </c>
      <c r="L54" s="171">
        <f>J54*'Wskazniki emisji paliw'!$L$28</f>
        <v>0</v>
      </c>
      <c r="M54" s="169">
        <f>$AO54*'Sam-Pojazdy-WSAD'!O54</f>
        <v>0</v>
      </c>
      <c r="N54" s="170">
        <f>$AO54*'Sam-Pojazdy-WSAD'!P54</f>
        <v>0</v>
      </c>
      <c r="O54" s="171">
        <f>M54*'Wskazniki emisji paliw'!M$29</f>
        <v>0</v>
      </c>
      <c r="P54" s="169">
        <f>$AO54*'Sam-Pojazdy-WSAD'!R54</f>
        <v>0</v>
      </c>
      <c r="Q54" s="170">
        <f>$AO54*'Sam-Pojazdy-WSAD'!S54</f>
        <v>0</v>
      </c>
      <c r="R54" s="171">
        <f>P54*'Wskazniki emisji paliw'!L$21</f>
        <v>0</v>
      </c>
      <c r="S54" s="169">
        <f>$AO54*'Sam-Pojazdy-WSAD'!U54</f>
        <v>0</v>
      </c>
      <c r="T54" s="170">
        <f>$AO54*'Sam-Pojazdy-WSAD'!V54</f>
        <v>0</v>
      </c>
      <c r="U54" s="171">
        <f>S54*'Wskazniki emisji paliw'!L$19*(1-U$6)</f>
        <v>0</v>
      </c>
      <c r="V54" s="169">
        <f>$AO54*'Sam-Pojazdy-WSAD'!X54</f>
        <v>0</v>
      </c>
      <c r="W54" s="170">
        <f>$AO54*'Sam-Pojazdy-WSAD'!Y54</f>
        <v>0</v>
      </c>
      <c r="X54" s="171">
        <f>V54*'Wskazniki emisji paliw'!L$18*(1-X$6)</f>
        <v>0</v>
      </c>
      <c r="Y54" s="169">
        <f>$AO54*'Sam-Pojazdy-WSAD'!AA54</f>
        <v>0</v>
      </c>
      <c r="Z54" s="170">
        <f>$AO54*'Sam-Pojazdy-WSAD'!AB54</f>
        <v>0</v>
      </c>
      <c r="AA54" s="171">
        <f>Y54*(HLOOKUP(Ogolne!$D$6,'Wskazniki emisji elektrycznosc'!$B$8:$G$29,Ogolne!$E$7,TRUE))/1000</f>
        <v>0</v>
      </c>
      <c r="AB54" s="145"/>
      <c r="AC54" s="167" t="str">
        <f t="shared" si="14"/>
        <v>Wydział Edukacji, Urząd Miasta Bydgoszczy  - szkoły podstawowe</v>
      </c>
      <c r="AD54" s="167" t="str">
        <f t="shared" si="15"/>
        <v>WE</v>
      </c>
      <c r="AE54" s="172">
        <f>'Sam-Pojazdy-WSAD'!AG54</f>
        <v>0</v>
      </c>
      <c r="AF54" s="172">
        <f>'Sam-Pojazdy-WSAD'!AH54</f>
        <v>0</v>
      </c>
      <c r="AG54" s="170">
        <f t="shared" si="16"/>
        <v>0</v>
      </c>
      <c r="AH54" s="171">
        <f t="shared" si="17"/>
        <v>0</v>
      </c>
      <c r="AI54" s="173" t="str">
        <f t="shared" si="18"/>
        <v/>
      </c>
      <c r="AJ54" s="174" t="str">
        <f t="shared" si="19"/>
        <v/>
      </c>
      <c r="AK54" s="175" t="str">
        <f t="shared" si="20"/>
        <v/>
      </c>
      <c r="AL54" s="176" t="str">
        <f t="shared" si="21"/>
        <v/>
      </c>
      <c r="AM54" s="177"/>
      <c r="AN54" s="718">
        <f>'Sam-Pojazdy-WSAD'!AP62</f>
        <v>0</v>
      </c>
      <c r="AO54" s="720">
        <v>1</v>
      </c>
      <c r="AP54" s="177"/>
      <c r="AQ54" s="177"/>
      <c r="AR54" s="177"/>
      <c r="AS54" s="177"/>
      <c r="AT54" s="177"/>
      <c r="AU54" s="177"/>
      <c r="AV54" s="177"/>
      <c r="AW54" s="177"/>
      <c r="AX54" s="177"/>
      <c r="AY54" s="177"/>
      <c r="AZ54" s="177"/>
      <c r="BA54" s="177"/>
    </row>
    <row r="55" spans="1:53" s="178" customFormat="1">
      <c r="A55" s="145"/>
      <c r="B55" s="713" t="str">
        <f>'Sam-Pojazdy-WSAD'!B55</f>
        <v>Wydział Edukacji, Urząd Miasta Bydgoszczy  - zespoły szkół</v>
      </c>
      <c r="C55" s="726" t="str">
        <f>'Sam-Pojazdy-WSAD'!C55</f>
        <v>WE</v>
      </c>
      <c r="D55" s="169">
        <f>$AO55*'Sam-Pojazdy-WSAD'!D55</f>
        <v>8974.630000000001</v>
      </c>
      <c r="E55" s="170">
        <f>$AO55*'Sam-Pojazdy-WSAD'!E55</f>
        <v>33450.449999999997</v>
      </c>
      <c r="F55" s="171">
        <f>D55*'Wskazniki emisji paliw'!L$19</f>
        <v>21.526576236816002</v>
      </c>
      <c r="G55" s="169">
        <f>$AO55*'Sam-Pojazdy-WSAD'!H55</f>
        <v>4424.24</v>
      </c>
      <c r="H55" s="170">
        <f>$AO55*'Sam-Pojazdy-WSAD'!I55</f>
        <v>11666.42</v>
      </c>
      <c r="I55" s="171">
        <f>G55*'Wskazniki emisji paliw'!L$18</f>
        <v>11.844684358085708</v>
      </c>
      <c r="J55" s="169">
        <f>$AO55*'Sam-Pojazdy-WSAD'!L55</f>
        <v>0</v>
      </c>
      <c r="K55" s="170">
        <f>$AO55*'Sam-Pojazdy-WSAD'!M55</f>
        <v>0</v>
      </c>
      <c r="L55" s="171">
        <f>J55*'Wskazniki emisji paliw'!$L$28</f>
        <v>0</v>
      </c>
      <c r="M55" s="169">
        <f>$AO55*'Sam-Pojazdy-WSAD'!O55</f>
        <v>0</v>
      </c>
      <c r="N55" s="170">
        <f>$AO55*'Sam-Pojazdy-WSAD'!P55</f>
        <v>0</v>
      </c>
      <c r="O55" s="171">
        <f>M55*'Wskazniki emisji paliw'!M$29</f>
        <v>0</v>
      </c>
      <c r="P55" s="169">
        <f>$AO55*'Sam-Pojazdy-WSAD'!R55</f>
        <v>0</v>
      </c>
      <c r="Q55" s="170">
        <f>$AO55*'Sam-Pojazdy-WSAD'!S55</f>
        <v>0</v>
      </c>
      <c r="R55" s="171">
        <f>P55*'Wskazniki emisji paliw'!L$21</f>
        <v>0</v>
      </c>
      <c r="S55" s="169">
        <f>$AO55*'Sam-Pojazdy-WSAD'!U55</f>
        <v>0</v>
      </c>
      <c r="T55" s="170">
        <f>$AO55*'Sam-Pojazdy-WSAD'!V55</f>
        <v>0</v>
      </c>
      <c r="U55" s="171">
        <f>S55*'Wskazniki emisji paliw'!L$19*(1-U$6)</f>
        <v>0</v>
      </c>
      <c r="V55" s="169">
        <f>$AO55*'Sam-Pojazdy-WSAD'!X55</f>
        <v>0</v>
      </c>
      <c r="W55" s="170">
        <f>$AO55*'Sam-Pojazdy-WSAD'!Y55</f>
        <v>0</v>
      </c>
      <c r="X55" s="171">
        <f>V55*'Wskazniki emisji paliw'!L$18*(1-X$6)</f>
        <v>0</v>
      </c>
      <c r="Y55" s="169">
        <f>$AO55*'Sam-Pojazdy-WSAD'!AA55</f>
        <v>0</v>
      </c>
      <c r="Z55" s="170">
        <f>$AO55*'Sam-Pojazdy-WSAD'!AB55</f>
        <v>0</v>
      </c>
      <c r="AA55" s="171">
        <f>Y55*(HLOOKUP(Ogolne!$D$6,'Wskazniki emisji elektrycznosc'!$B$8:$G$29,Ogolne!$E$7,TRUE))/1000</f>
        <v>0</v>
      </c>
      <c r="AB55" s="145"/>
      <c r="AC55" s="167" t="str">
        <f t="shared" si="14"/>
        <v>Wydział Edukacji, Urząd Miasta Bydgoszczy  - zespoły szkół</v>
      </c>
      <c r="AD55" s="167" t="str">
        <f t="shared" si="15"/>
        <v>WE</v>
      </c>
      <c r="AE55" s="172">
        <f>'Sam-Pojazdy-WSAD'!AG55</f>
        <v>0</v>
      </c>
      <c r="AF55" s="172">
        <f>'Sam-Pojazdy-WSAD'!AH55</f>
        <v>0</v>
      </c>
      <c r="AG55" s="170">
        <f t="shared" si="16"/>
        <v>45116.869999999995</v>
      </c>
      <c r="AH55" s="171">
        <f t="shared" si="17"/>
        <v>33.371260594901713</v>
      </c>
      <c r="AI55" s="173" t="str">
        <f t="shared" si="18"/>
        <v/>
      </c>
      <c r="AJ55" s="174" t="str">
        <f t="shared" si="19"/>
        <v/>
      </c>
      <c r="AK55" s="175" t="str">
        <f t="shared" si="20"/>
        <v/>
      </c>
      <c r="AL55" s="176" t="str">
        <f t="shared" si="21"/>
        <v/>
      </c>
      <c r="AM55" s="177"/>
      <c r="AN55" s="718">
        <f>'Sam-Pojazdy-WSAD'!AP63</f>
        <v>0</v>
      </c>
      <c r="AO55" s="720">
        <v>1</v>
      </c>
      <c r="AP55" s="177"/>
      <c r="AQ55" s="177"/>
      <c r="AR55" s="177"/>
      <c r="AS55" s="177"/>
      <c r="AT55" s="177"/>
      <c r="AU55" s="177"/>
      <c r="AV55" s="177"/>
      <c r="AW55" s="177"/>
      <c r="AX55" s="177"/>
      <c r="AY55" s="177"/>
      <c r="AZ55" s="177"/>
      <c r="BA55" s="177"/>
    </row>
    <row r="56" spans="1:53" s="178" customFormat="1">
      <c r="A56" s="145"/>
      <c r="B56" s="713" t="str">
        <f>'Sam-Pojazdy-WSAD'!B56</f>
        <v>Wydział Obsługi Urzędu, Urząd Miasta Bydgoszczy</v>
      </c>
      <c r="C56" s="726" t="str">
        <f>'Sam-Pojazdy-WSAD'!C56</f>
        <v>WOU</v>
      </c>
      <c r="D56" s="169">
        <f>$AO56*'Sam-Pojazdy-WSAD'!D56</f>
        <v>16139</v>
      </c>
      <c r="E56" s="170">
        <f>$AO56*'Sam-Pojazdy-WSAD'!E56</f>
        <v>61328</v>
      </c>
      <c r="F56" s="171">
        <f>D56*'Wskazniki emisji paliw'!L$19</f>
        <v>38.7110570448</v>
      </c>
      <c r="G56" s="169">
        <f>$AO56*'Sam-Pojazdy-WSAD'!H56</f>
        <v>3595</v>
      </c>
      <c r="H56" s="170">
        <f>$AO56*'Sam-Pojazdy-WSAD'!I56</f>
        <v>12297</v>
      </c>
      <c r="I56" s="171">
        <f>G56*'Wskazniki emisji paliw'!L$18</f>
        <v>9.6246225944609964</v>
      </c>
      <c r="J56" s="169">
        <f>$AO56*'Sam-Pojazdy-WSAD'!L56</f>
        <v>3061</v>
      </c>
      <c r="K56" s="170">
        <f>$AO56*'Sam-Pojazdy-WSAD'!M56</f>
        <v>6061</v>
      </c>
      <c r="L56" s="171">
        <f>J56*'Wskazniki emisji paliw'!$L$28</f>
        <v>21.451926135790913</v>
      </c>
      <c r="M56" s="169">
        <f>$AO56*'Sam-Pojazdy-WSAD'!O56</f>
        <v>0</v>
      </c>
      <c r="N56" s="170">
        <f>$AO56*'Sam-Pojazdy-WSAD'!P56</f>
        <v>0</v>
      </c>
      <c r="O56" s="171">
        <f>M56*'Wskazniki emisji paliw'!M$29</f>
        <v>0</v>
      </c>
      <c r="P56" s="169">
        <f>$AO56*'Sam-Pojazdy-WSAD'!R56</f>
        <v>0</v>
      </c>
      <c r="Q56" s="170">
        <f>$AO56*'Sam-Pojazdy-WSAD'!S56</f>
        <v>0</v>
      </c>
      <c r="R56" s="171">
        <f>P56*'Wskazniki emisji paliw'!L$21</f>
        <v>0</v>
      </c>
      <c r="S56" s="169">
        <f>$AO56*'Sam-Pojazdy-WSAD'!U56</f>
        <v>0</v>
      </c>
      <c r="T56" s="170">
        <f>$AO56*'Sam-Pojazdy-WSAD'!V56</f>
        <v>0</v>
      </c>
      <c r="U56" s="171">
        <f>S56*'Wskazniki emisji paliw'!L$19*(1-U$6)</f>
        <v>0</v>
      </c>
      <c r="V56" s="169">
        <f>$AO56*'Sam-Pojazdy-WSAD'!X56</f>
        <v>0</v>
      </c>
      <c r="W56" s="170">
        <f>$AO56*'Sam-Pojazdy-WSAD'!Y56</f>
        <v>0</v>
      </c>
      <c r="X56" s="171">
        <f>V56*'Wskazniki emisji paliw'!L$18*(1-X$6)</f>
        <v>0</v>
      </c>
      <c r="Y56" s="169">
        <f>$AO56*'Sam-Pojazdy-WSAD'!AA56</f>
        <v>0</v>
      </c>
      <c r="Z56" s="170">
        <f>$AO56*'Sam-Pojazdy-WSAD'!AB56</f>
        <v>0</v>
      </c>
      <c r="AA56" s="171">
        <f>Y56*(HLOOKUP(Ogolne!$D$6,'Wskazniki emisji elektrycznosc'!$B$8:$G$29,Ogolne!$E$7,TRUE))/1000</f>
        <v>0</v>
      </c>
      <c r="AB56" s="145"/>
      <c r="AC56" s="167" t="str">
        <f t="shared" si="14"/>
        <v>Wydział Obsługi Urzędu, Urząd Miasta Bydgoszczy</v>
      </c>
      <c r="AD56" s="167" t="str">
        <f t="shared" si="15"/>
        <v>WOU</v>
      </c>
      <c r="AE56" s="172">
        <f>'Sam-Pojazdy-WSAD'!AG56</f>
        <v>0</v>
      </c>
      <c r="AF56" s="172">
        <f>'Sam-Pojazdy-WSAD'!AH56</f>
        <v>0</v>
      </c>
      <c r="AG56" s="170">
        <f t="shared" si="16"/>
        <v>79686</v>
      </c>
      <c r="AH56" s="171">
        <f t="shared" si="17"/>
        <v>69.787605775051901</v>
      </c>
      <c r="AI56" s="173" t="str">
        <f t="shared" si="18"/>
        <v/>
      </c>
      <c r="AJ56" s="174" t="str">
        <f t="shared" si="19"/>
        <v/>
      </c>
      <c r="AK56" s="175" t="str">
        <f t="shared" si="20"/>
        <v/>
      </c>
      <c r="AL56" s="176" t="str">
        <f t="shared" si="21"/>
        <v/>
      </c>
      <c r="AM56" s="177"/>
      <c r="AN56" s="718">
        <f>'Sam-Pojazdy-WSAD'!AP64</f>
        <v>0</v>
      </c>
      <c r="AO56" s="720">
        <v>1</v>
      </c>
      <c r="AP56" s="177"/>
      <c r="AQ56" s="177"/>
      <c r="AR56" s="177"/>
      <c r="AS56" s="177"/>
      <c r="AT56" s="177"/>
      <c r="AU56" s="177"/>
      <c r="AV56" s="177"/>
      <c r="AW56" s="177"/>
      <c r="AX56" s="177"/>
      <c r="AY56" s="177"/>
      <c r="AZ56" s="177"/>
      <c r="BA56" s="177"/>
    </row>
    <row r="57" spans="1:53" s="178" customFormat="1">
      <c r="A57" s="145"/>
      <c r="B57" s="713" t="str">
        <f>'Sam-Pojazdy-WSAD'!B57</f>
        <v>Zakład Robót Publicznych</v>
      </c>
      <c r="C57" s="726" t="str">
        <f>'Sam-Pojazdy-WSAD'!C57</f>
        <v>ZRP</v>
      </c>
      <c r="D57" s="169">
        <f>$AO57*'Sam-Pojazdy-WSAD'!D57</f>
        <v>5969.11</v>
      </c>
      <c r="E57" s="170">
        <f>$AO57*'Sam-Pojazdy-WSAD'!E57</f>
        <v>42520</v>
      </c>
      <c r="F57" s="171">
        <f>D57*'Wskazniki emisji paliw'!L$19</f>
        <v>14.317526347152</v>
      </c>
      <c r="G57" s="169">
        <f>$AO57*'Sam-Pojazdy-WSAD'!H57</f>
        <v>139280.12</v>
      </c>
      <c r="H57" s="170">
        <f>$AO57*'Sam-Pojazdy-WSAD'!I57</f>
        <v>516912.36</v>
      </c>
      <c r="I57" s="171">
        <f>G57*'Wskazniki emisji paliw'!L$18</f>
        <v>372.88416965542115</v>
      </c>
      <c r="J57" s="169">
        <f>$AO57*'Sam-Pojazdy-WSAD'!L57</f>
        <v>0</v>
      </c>
      <c r="K57" s="170">
        <f>$AO57*'Sam-Pojazdy-WSAD'!M57</f>
        <v>0</v>
      </c>
      <c r="L57" s="171">
        <f>J57*'Wskazniki emisji paliw'!$L$28</f>
        <v>0</v>
      </c>
      <c r="M57" s="169">
        <f>$AO57*'Sam-Pojazdy-WSAD'!O57</f>
        <v>0</v>
      </c>
      <c r="N57" s="170">
        <f>$AO57*'Sam-Pojazdy-WSAD'!P57</f>
        <v>0</v>
      </c>
      <c r="O57" s="171">
        <f>M57*'Wskazniki emisji paliw'!M$29</f>
        <v>0</v>
      </c>
      <c r="P57" s="169">
        <f>$AO57*'Sam-Pojazdy-WSAD'!R57</f>
        <v>0</v>
      </c>
      <c r="Q57" s="170">
        <f>$AO57*'Sam-Pojazdy-WSAD'!S57</f>
        <v>0</v>
      </c>
      <c r="R57" s="171">
        <f>P57*'Wskazniki emisji paliw'!L$21</f>
        <v>0</v>
      </c>
      <c r="S57" s="169">
        <f>$AO57*'Sam-Pojazdy-WSAD'!U57</f>
        <v>0</v>
      </c>
      <c r="T57" s="170">
        <f>$AO57*'Sam-Pojazdy-WSAD'!V57</f>
        <v>0</v>
      </c>
      <c r="U57" s="171">
        <f>S57*'Wskazniki emisji paliw'!L$19*(1-U$6)</f>
        <v>0</v>
      </c>
      <c r="V57" s="169">
        <f>$AO57*'Sam-Pojazdy-WSAD'!X57</f>
        <v>0</v>
      </c>
      <c r="W57" s="170">
        <f>$AO57*'Sam-Pojazdy-WSAD'!Y57</f>
        <v>0</v>
      </c>
      <c r="X57" s="171">
        <f>V57*'Wskazniki emisji paliw'!L$18*(1-X$6)</f>
        <v>0</v>
      </c>
      <c r="Y57" s="169">
        <f>$AO57*'Sam-Pojazdy-WSAD'!AA57</f>
        <v>0</v>
      </c>
      <c r="Z57" s="170">
        <f>$AO57*'Sam-Pojazdy-WSAD'!AB57</f>
        <v>0</v>
      </c>
      <c r="AA57" s="171">
        <f>Y57*(HLOOKUP(Ogolne!$D$6,'Wskazniki emisji elektrycznosc'!$B$8:$G$29,Ogolne!$E$7,TRUE))/1000</f>
        <v>0</v>
      </c>
      <c r="AB57" s="145"/>
      <c r="AC57" s="167" t="str">
        <f t="shared" si="14"/>
        <v>Zakład Robót Publicznych</v>
      </c>
      <c r="AD57" s="167" t="str">
        <f t="shared" si="15"/>
        <v>ZRP</v>
      </c>
      <c r="AE57" s="172">
        <f>'Sam-Pojazdy-WSAD'!AG57</f>
        <v>20</v>
      </c>
      <c r="AF57" s="172">
        <f>'Sam-Pojazdy-WSAD'!AH57</f>
        <v>18602.2</v>
      </c>
      <c r="AG57" s="170">
        <f t="shared" si="16"/>
        <v>559432.36</v>
      </c>
      <c r="AH57" s="171">
        <f t="shared" si="17"/>
        <v>387.20169600257316</v>
      </c>
      <c r="AI57" s="173">
        <f t="shared" si="18"/>
        <v>30.073451527238714</v>
      </c>
      <c r="AJ57" s="174">
        <f t="shared" si="19"/>
        <v>27971.617999999999</v>
      </c>
      <c r="AK57" s="175">
        <f t="shared" si="20"/>
        <v>2.0814833514453835E-2</v>
      </c>
      <c r="AL57" s="176">
        <f t="shared" si="21"/>
        <v>19.360084800128657</v>
      </c>
      <c r="AM57" s="177"/>
      <c r="AN57" s="718">
        <f>'Sam-Pojazdy-WSAD'!AP65</f>
        <v>0</v>
      </c>
      <c r="AO57" s="720">
        <v>1</v>
      </c>
      <c r="AP57" s="177"/>
      <c r="AQ57" s="177"/>
      <c r="AR57" s="177"/>
      <c r="AS57" s="177"/>
      <c r="AT57" s="177"/>
      <c r="AU57" s="177"/>
      <c r="AV57" s="177"/>
      <c r="AW57" s="177"/>
      <c r="AX57" s="177"/>
      <c r="AY57" s="177"/>
      <c r="AZ57" s="177"/>
      <c r="BA57" s="177"/>
    </row>
    <row r="58" spans="1:53" s="178" customFormat="1">
      <c r="A58" s="145"/>
      <c r="B58" s="713" t="str">
        <f>'Sam-Pojazdy-WSAD'!B58</f>
        <v>Zakład Robót Publicznych - inne</v>
      </c>
      <c r="C58" s="726" t="str">
        <f>'Sam-Pojazdy-WSAD'!C58</f>
        <v>ZRP</v>
      </c>
      <c r="D58" s="169">
        <f>$AO58*'Sam-Pojazdy-WSAD'!D58</f>
        <v>0</v>
      </c>
      <c r="E58" s="170">
        <f>$AO58*'Sam-Pojazdy-WSAD'!E58</f>
        <v>0</v>
      </c>
      <c r="F58" s="171">
        <f>D58*'Wskazniki emisji paliw'!L$19</f>
        <v>0</v>
      </c>
      <c r="G58" s="169">
        <f>$AO58*'Sam-Pojazdy-WSAD'!H58</f>
        <v>0</v>
      </c>
      <c r="H58" s="170">
        <f>$AO58*'Sam-Pojazdy-WSAD'!I58</f>
        <v>0</v>
      </c>
      <c r="I58" s="171">
        <f>G58*'Wskazniki emisji paliw'!L$18</f>
        <v>0</v>
      </c>
      <c r="J58" s="169">
        <f>$AO58*'Sam-Pojazdy-WSAD'!L58</f>
        <v>0</v>
      </c>
      <c r="K58" s="170">
        <f>$AO58*'Sam-Pojazdy-WSAD'!M58</f>
        <v>0</v>
      </c>
      <c r="L58" s="171">
        <f>J58*'Wskazniki emisji paliw'!$L$28</f>
        <v>0</v>
      </c>
      <c r="M58" s="169">
        <f>$AO58*'Sam-Pojazdy-WSAD'!O58</f>
        <v>0</v>
      </c>
      <c r="N58" s="170">
        <f>$AO58*'Sam-Pojazdy-WSAD'!P58</f>
        <v>0</v>
      </c>
      <c r="O58" s="171">
        <f>M58*'Wskazniki emisji paliw'!M$29</f>
        <v>0</v>
      </c>
      <c r="P58" s="169">
        <f>$AO58*'Sam-Pojazdy-WSAD'!R58</f>
        <v>0</v>
      </c>
      <c r="Q58" s="170">
        <f>$AO58*'Sam-Pojazdy-WSAD'!S58</f>
        <v>0</v>
      </c>
      <c r="R58" s="171">
        <f>P58*'Wskazniki emisji paliw'!L$21</f>
        <v>0</v>
      </c>
      <c r="S58" s="169">
        <f>$AO58*'Sam-Pojazdy-WSAD'!U58</f>
        <v>0</v>
      </c>
      <c r="T58" s="170">
        <f>$AO58*'Sam-Pojazdy-WSAD'!V58</f>
        <v>0</v>
      </c>
      <c r="U58" s="171">
        <f>S58*'Wskazniki emisji paliw'!L$19*(1-U$6)</f>
        <v>0</v>
      </c>
      <c r="V58" s="169">
        <f>$AO58*'Sam-Pojazdy-WSAD'!X58</f>
        <v>0</v>
      </c>
      <c r="W58" s="170">
        <f>$AO58*'Sam-Pojazdy-WSAD'!Y58</f>
        <v>0</v>
      </c>
      <c r="X58" s="171">
        <f>V58*'Wskazniki emisji paliw'!L$18*(1-X$6)</f>
        <v>0</v>
      </c>
      <c r="Y58" s="169">
        <f>$AO58*'Sam-Pojazdy-WSAD'!AA58</f>
        <v>0</v>
      </c>
      <c r="Z58" s="170">
        <f>$AO58*'Sam-Pojazdy-WSAD'!AB58</f>
        <v>0</v>
      </c>
      <c r="AA58" s="171">
        <f>Y58*(HLOOKUP(Ogolne!$D$6,'Wskazniki emisji elektrycznosc'!$B$8:$G$29,Ogolne!$E$7,TRUE))/1000</f>
        <v>0</v>
      </c>
      <c r="AB58" s="145"/>
      <c r="AC58" s="167" t="str">
        <f t="shared" ref="AC58:AC69" si="22">B58</f>
        <v>Zakład Robót Publicznych - inne</v>
      </c>
      <c r="AD58" s="167" t="str">
        <f t="shared" ref="AD58:AD69" si="23">C58</f>
        <v>ZRP</v>
      </c>
      <c r="AE58" s="172">
        <f>'Sam-Pojazdy-WSAD'!AG58</f>
        <v>0</v>
      </c>
      <c r="AF58" s="172">
        <f>'Sam-Pojazdy-WSAD'!AH58</f>
        <v>0</v>
      </c>
      <c r="AG58" s="170">
        <f t="shared" ref="AG58:AG69" si="24">E58+H58+K58+N58+Q58+T58+W58+Z58</f>
        <v>0</v>
      </c>
      <c r="AH58" s="171">
        <f t="shared" ref="AH58:AH69" si="25">F58+I58+L58+O58+R58+U58+X58+AA58</f>
        <v>0</v>
      </c>
      <c r="AI58" s="173" t="str">
        <f t="shared" si="18"/>
        <v/>
      </c>
      <c r="AJ58" s="174" t="str">
        <f t="shared" si="19"/>
        <v/>
      </c>
      <c r="AK58" s="175" t="str">
        <f t="shared" si="20"/>
        <v/>
      </c>
      <c r="AL58" s="176" t="str">
        <f t="shared" si="21"/>
        <v/>
      </c>
      <c r="AM58" s="177"/>
      <c r="AN58" s="718">
        <f>'Sam-Pojazdy-WSAD'!AP66</f>
        <v>0</v>
      </c>
      <c r="AO58" s="720">
        <v>1</v>
      </c>
      <c r="AP58" s="177"/>
      <c r="AQ58" s="177"/>
      <c r="AR58" s="177"/>
      <c r="AS58" s="177"/>
      <c r="AT58" s="177"/>
      <c r="AU58" s="177"/>
      <c r="AV58" s="177"/>
      <c r="AW58" s="177"/>
      <c r="AX58" s="177"/>
      <c r="AY58" s="177"/>
      <c r="AZ58" s="177"/>
      <c r="BA58" s="177"/>
    </row>
    <row r="59" spans="1:53" s="178" customFormat="1">
      <c r="A59" s="145"/>
      <c r="B59" s="713" t="str">
        <f>'Sam-Pojazdy-WSAD'!B59</f>
        <v>Zarząd Dróg Miejskich i Komunikacji Publicznej w Bydgoszczy</v>
      </c>
      <c r="C59" s="726" t="str">
        <f>'Sam-Pojazdy-WSAD'!C59</f>
        <v>ZDMIKP</v>
      </c>
      <c r="D59" s="169">
        <f>$AO59*'Sam-Pojazdy-WSAD'!D59</f>
        <v>14892</v>
      </c>
      <c r="E59" s="170">
        <f>$AO59*'Sam-Pojazdy-WSAD'!E59</f>
        <v>56405</v>
      </c>
      <c r="F59" s="171">
        <f>D59*'Wskazniki emisji paliw'!L$19</f>
        <v>35.719998854400004</v>
      </c>
      <c r="G59" s="169">
        <f>$AO59*'Sam-Pojazdy-WSAD'!H59</f>
        <v>51447</v>
      </c>
      <c r="H59" s="170">
        <f>$AO59*'Sam-Pojazdy-WSAD'!I59</f>
        <v>182756</v>
      </c>
      <c r="I59" s="171">
        <f>G59*'Wskazniki emisji paliw'!L$18</f>
        <v>137.73517624957856</v>
      </c>
      <c r="J59" s="169">
        <f>$AO59*'Sam-Pojazdy-WSAD'!L59</f>
        <v>0</v>
      </c>
      <c r="K59" s="170">
        <f>$AO59*'Sam-Pojazdy-WSAD'!M59</f>
        <v>0</v>
      </c>
      <c r="L59" s="171">
        <f>J59*'Wskazniki emisji paliw'!$L$28</f>
        <v>0</v>
      </c>
      <c r="M59" s="169">
        <f>$AO59*'Sam-Pojazdy-WSAD'!O59</f>
        <v>0</v>
      </c>
      <c r="N59" s="170">
        <f>$AO59*'Sam-Pojazdy-WSAD'!P59</f>
        <v>0</v>
      </c>
      <c r="O59" s="171">
        <f>M59*'Wskazniki emisji paliw'!M$29</f>
        <v>0</v>
      </c>
      <c r="P59" s="169">
        <f>$AO59*'Sam-Pojazdy-WSAD'!R59</f>
        <v>0</v>
      </c>
      <c r="Q59" s="170">
        <f>$AO59*'Sam-Pojazdy-WSAD'!S59</f>
        <v>0</v>
      </c>
      <c r="R59" s="171">
        <f>P59*'Wskazniki emisji paliw'!L$21</f>
        <v>0</v>
      </c>
      <c r="S59" s="169">
        <f>$AO59*'Sam-Pojazdy-WSAD'!U59</f>
        <v>0</v>
      </c>
      <c r="T59" s="170">
        <f>$AO59*'Sam-Pojazdy-WSAD'!V59</f>
        <v>0</v>
      </c>
      <c r="U59" s="171">
        <f>S59*'Wskazniki emisji paliw'!L$19*(1-U$6)</f>
        <v>0</v>
      </c>
      <c r="V59" s="169">
        <f>$AO59*'Sam-Pojazdy-WSAD'!X59</f>
        <v>0</v>
      </c>
      <c r="W59" s="170">
        <f>$AO59*'Sam-Pojazdy-WSAD'!Y59</f>
        <v>0</v>
      </c>
      <c r="X59" s="171">
        <f>V59*'Wskazniki emisji paliw'!L$18*(1-X$6)</f>
        <v>0</v>
      </c>
      <c r="Y59" s="169">
        <f>$AO59*'Sam-Pojazdy-WSAD'!AA59</f>
        <v>0</v>
      </c>
      <c r="Z59" s="170">
        <f>$AO59*'Sam-Pojazdy-WSAD'!AB59</f>
        <v>0</v>
      </c>
      <c r="AA59" s="171">
        <f>Y59*(HLOOKUP(Ogolne!$D$6,'Wskazniki emisji elektrycznosc'!$B$8:$G$29,Ogolne!$E$7,TRUE))/1000</f>
        <v>0</v>
      </c>
      <c r="AB59" s="145"/>
      <c r="AC59" s="167" t="str">
        <f t="shared" si="22"/>
        <v>Zarząd Dróg Miejskich i Komunikacji Publicznej w Bydgoszczy</v>
      </c>
      <c r="AD59" s="167" t="str">
        <f t="shared" si="23"/>
        <v>ZDMIKP</v>
      </c>
      <c r="AE59" s="172">
        <f>'Sam-Pojazdy-WSAD'!AG59</f>
        <v>0</v>
      </c>
      <c r="AF59" s="172">
        <f>'Sam-Pojazdy-WSAD'!AH59</f>
        <v>0</v>
      </c>
      <c r="AG59" s="170">
        <f t="shared" si="24"/>
        <v>239161</v>
      </c>
      <c r="AH59" s="171">
        <f t="shared" si="25"/>
        <v>173.45517510397855</v>
      </c>
      <c r="AI59" s="173" t="str">
        <f t="shared" si="18"/>
        <v/>
      </c>
      <c r="AJ59" s="174" t="str">
        <f t="shared" si="19"/>
        <v/>
      </c>
      <c r="AK59" s="175" t="str">
        <f t="shared" si="20"/>
        <v/>
      </c>
      <c r="AL59" s="176" t="str">
        <f t="shared" si="21"/>
        <v/>
      </c>
      <c r="AM59" s="177"/>
      <c r="AN59" s="718">
        <f>'Sam-Pojazdy-WSAD'!AP67</f>
        <v>0</v>
      </c>
      <c r="AO59" s="720">
        <v>1</v>
      </c>
      <c r="AP59" s="177"/>
      <c r="AQ59" s="177"/>
      <c r="AR59" s="177"/>
      <c r="AS59" s="177"/>
      <c r="AT59" s="177"/>
      <c r="AU59" s="177"/>
      <c r="AV59" s="177"/>
      <c r="AW59" s="177"/>
      <c r="AX59" s="177"/>
      <c r="AY59" s="177"/>
      <c r="AZ59" s="177"/>
      <c r="BA59" s="177"/>
    </row>
    <row r="60" spans="1:53" s="178" customFormat="1">
      <c r="A60" s="145"/>
      <c r="B60" s="713" t="str">
        <f>'Sam-Pojazdy-WSAD'!B60</f>
        <v xml:space="preserve">Zespół Żłobków Miejskich </v>
      </c>
      <c r="C60" s="726" t="str">
        <f>'Sam-Pojazdy-WSAD'!C60</f>
        <v>ZZM</v>
      </c>
      <c r="D60" s="169">
        <f>$AO60*'Sam-Pojazdy-WSAD'!D60</f>
        <v>0</v>
      </c>
      <c r="E60" s="170">
        <f>$AO60*'Sam-Pojazdy-WSAD'!E60</f>
        <v>0</v>
      </c>
      <c r="F60" s="171">
        <f>D60*'Wskazniki emisji paliw'!L$19</f>
        <v>0</v>
      </c>
      <c r="G60" s="169">
        <f>$AO60*'Sam-Pojazdy-WSAD'!H60</f>
        <v>0</v>
      </c>
      <c r="H60" s="170">
        <f>$AO60*'Sam-Pojazdy-WSAD'!I60</f>
        <v>0</v>
      </c>
      <c r="I60" s="171">
        <f>G60*'Wskazniki emisji paliw'!L$18</f>
        <v>0</v>
      </c>
      <c r="J60" s="169">
        <f>$AO60*'Sam-Pojazdy-WSAD'!L60</f>
        <v>0</v>
      </c>
      <c r="K60" s="170">
        <f>$AO60*'Sam-Pojazdy-WSAD'!M60</f>
        <v>0</v>
      </c>
      <c r="L60" s="171">
        <f>J60*'Wskazniki emisji paliw'!$L$28</f>
        <v>0</v>
      </c>
      <c r="M60" s="169">
        <f>$AO60*'Sam-Pojazdy-WSAD'!O60</f>
        <v>0</v>
      </c>
      <c r="N60" s="170">
        <f>$AO60*'Sam-Pojazdy-WSAD'!P60</f>
        <v>0</v>
      </c>
      <c r="O60" s="171">
        <f>M60*'Wskazniki emisji paliw'!M$29</f>
        <v>0</v>
      </c>
      <c r="P60" s="169">
        <f>$AO60*'Sam-Pojazdy-WSAD'!R60</f>
        <v>0</v>
      </c>
      <c r="Q60" s="170">
        <f>$AO60*'Sam-Pojazdy-WSAD'!S60</f>
        <v>0</v>
      </c>
      <c r="R60" s="171">
        <f>P60*'Wskazniki emisji paliw'!L$21</f>
        <v>0</v>
      </c>
      <c r="S60" s="169">
        <f>$AO60*'Sam-Pojazdy-WSAD'!U60</f>
        <v>0</v>
      </c>
      <c r="T60" s="170">
        <f>$AO60*'Sam-Pojazdy-WSAD'!V60</f>
        <v>0</v>
      </c>
      <c r="U60" s="171">
        <f>S60*'Wskazniki emisji paliw'!L$19*(1-U$6)</f>
        <v>0</v>
      </c>
      <c r="V60" s="169">
        <f>$AO60*'Sam-Pojazdy-WSAD'!X60</f>
        <v>0</v>
      </c>
      <c r="W60" s="170">
        <f>$AO60*'Sam-Pojazdy-WSAD'!Y60</f>
        <v>0</v>
      </c>
      <c r="X60" s="171">
        <f>V60*'Wskazniki emisji paliw'!L$18*(1-X$6)</f>
        <v>0</v>
      </c>
      <c r="Y60" s="169">
        <f>$AO60*'Sam-Pojazdy-WSAD'!AA60</f>
        <v>0</v>
      </c>
      <c r="Z60" s="170">
        <f>$AO60*'Sam-Pojazdy-WSAD'!AB60</f>
        <v>0</v>
      </c>
      <c r="AA60" s="171">
        <f>Y60*(HLOOKUP(Ogolne!$D$6,'Wskazniki emisji elektrycznosc'!$B$8:$G$29,Ogolne!$E$7,TRUE))/1000</f>
        <v>0</v>
      </c>
      <c r="AB60" s="145"/>
      <c r="AC60" s="167" t="str">
        <f t="shared" si="22"/>
        <v xml:space="preserve">Zespół Żłobków Miejskich </v>
      </c>
      <c r="AD60" s="167" t="str">
        <f t="shared" si="23"/>
        <v>ZZM</v>
      </c>
      <c r="AE60" s="172">
        <f>'Sam-Pojazdy-WSAD'!AG60</f>
        <v>0</v>
      </c>
      <c r="AF60" s="172">
        <f>'Sam-Pojazdy-WSAD'!AH60</f>
        <v>0</v>
      </c>
      <c r="AG60" s="170">
        <f t="shared" si="24"/>
        <v>0</v>
      </c>
      <c r="AH60" s="171">
        <f t="shared" si="25"/>
        <v>0</v>
      </c>
      <c r="AI60" s="173" t="str">
        <f t="shared" si="18"/>
        <v/>
      </c>
      <c r="AJ60" s="174" t="str">
        <f t="shared" si="19"/>
        <v/>
      </c>
      <c r="AK60" s="175" t="str">
        <f t="shared" si="20"/>
        <v/>
      </c>
      <c r="AL60" s="176" t="str">
        <f t="shared" si="21"/>
        <v/>
      </c>
      <c r="AM60" s="177"/>
      <c r="AN60" s="718">
        <f>'Sam-Pojazdy-WSAD'!AP68</f>
        <v>0</v>
      </c>
      <c r="AO60" s="720">
        <v>1</v>
      </c>
      <c r="AP60" s="177"/>
      <c r="AQ60" s="177"/>
      <c r="AR60" s="177"/>
      <c r="AS60" s="177"/>
      <c r="AT60" s="177"/>
      <c r="AU60" s="177"/>
      <c r="AV60" s="177"/>
      <c r="AW60" s="177"/>
      <c r="AX60" s="177"/>
      <c r="AY60" s="177"/>
      <c r="AZ60" s="177"/>
      <c r="BA60" s="177"/>
    </row>
    <row r="61" spans="1:53" s="178" customFormat="1">
      <c r="A61" s="145"/>
      <c r="B61" s="713" t="str">
        <f>'Sam-Pojazdy-WSAD'!B61</f>
        <v>Bydgoskie Towarzystwo Żużlowe Polonia</v>
      </c>
      <c r="C61" s="726" t="str">
        <f>'Sam-Pojazdy-WSAD'!C61</f>
        <v>BTZP</v>
      </c>
      <c r="D61" s="169">
        <f>$AO61*'Sam-Pojazdy-WSAD'!D61</f>
        <v>0</v>
      </c>
      <c r="E61" s="170">
        <f>$AO61*'Sam-Pojazdy-WSAD'!E61</f>
        <v>0</v>
      </c>
      <c r="F61" s="171">
        <f>D61*'Wskazniki emisji paliw'!L$19</f>
        <v>0</v>
      </c>
      <c r="G61" s="169">
        <f>$AO61*'Sam-Pojazdy-WSAD'!H61</f>
        <v>0</v>
      </c>
      <c r="H61" s="170">
        <f>$AO61*'Sam-Pojazdy-WSAD'!I61</f>
        <v>0</v>
      </c>
      <c r="I61" s="171">
        <f>G61*'Wskazniki emisji paliw'!L$18</f>
        <v>0</v>
      </c>
      <c r="J61" s="169">
        <f>$AO61*'Sam-Pojazdy-WSAD'!L61</f>
        <v>0</v>
      </c>
      <c r="K61" s="170">
        <f>$AO61*'Sam-Pojazdy-WSAD'!M61</f>
        <v>0</v>
      </c>
      <c r="L61" s="171">
        <f>J61*'Wskazniki emisji paliw'!$L$28</f>
        <v>0</v>
      </c>
      <c r="M61" s="169">
        <f>$AO61*'Sam-Pojazdy-WSAD'!O61</f>
        <v>0</v>
      </c>
      <c r="N61" s="170">
        <f>$AO61*'Sam-Pojazdy-WSAD'!P61</f>
        <v>0</v>
      </c>
      <c r="O61" s="171">
        <f>M61*'Wskazniki emisji paliw'!M$29</f>
        <v>0</v>
      </c>
      <c r="P61" s="169">
        <f>$AO61*'Sam-Pojazdy-WSAD'!R61</f>
        <v>0</v>
      </c>
      <c r="Q61" s="170">
        <f>$AO61*'Sam-Pojazdy-WSAD'!S61</f>
        <v>0</v>
      </c>
      <c r="R61" s="171">
        <f>P61*'Wskazniki emisji paliw'!L$21</f>
        <v>0</v>
      </c>
      <c r="S61" s="169">
        <f>$AO61*'Sam-Pojazdy-WSAD'!U61</f>
        <v>0</v>
      </c>
      <c r="T61" s="170">
        <f>$AO61*'Sam-Pojazdy-WSAD'!V61</f>
        <v>0</v>
      </c>
      <c r="U61" s="171">
        <f>S61*'Wskazniki emisji paliw'!L$19*(1-U$6)</f>
        <v>0</v>
      </c>
      <c r="V61" s="169">
        <f>$AO61*'Sam-Pojazdy-WSAD'!X61</f>
        <v>0</v>
      </c>
      <c r="W61" s="170">
        <f>$AO61*'Sam-Pojazdy-WSAD'!Y61</f>
        <v>0</v>
      </c>
      <c r="X61" s="171">
        <f>V61*'Wskazniki emisji paliw'!L$18*(1-X$6)</f>
        <v>0</v>
      </c>
      <c r="Y61" s="169">
        <f>$AO61*'Sam-Pojazdy-WSAD'!AA61</f>
        <v>0</v>
      </c>
      <c r="Z61" s="170">
        <f>$AO61*'Sam-Pojazdy-WSAD'!AB61</f>
        <v>0</v>
      </c>
      <c r="AA61" s="171">
        <f>Y61*(HLOOKUP(Ogolne!$D$6,'Wskazniki emisji elektrycznosc'!$B$8:$G$29,Ogolne!$E$7,TRUE))/1000</f>
        <v>0</v>
      </c>
      <c r="AB61" s="145"/>
      <c r="AC61" s="167" t="str">
        <f t="shared" si="22"/>
        <v>Bydgoskie Towarzystwo Żużlowe Polonia</v>
      </c>
      <c r="AD61" s="167" t="str">
        <f t="shared" si="23"/>
        <v>BTZP</v>
      </c>
      <c r="AE61" s="172">
        <f>'Sam-Pojazdy-WSAD'!AG61</f>
        <v>0</v>
      </c>
      <c r="AF61" s="172">
        <f>'Sam-Pojazdy-WSAD'!AH61</f>
        <v>0</v>
      </c>
      <c r="AG61" s="170">
        <f t="shared" si="24"/>
        <v>0</v>
      </c>
      <c r="AH61" s="171">
        <f t="shared" si="25"/>
        <v>0</v>
      </c>
      <c r="AI61" s="173" t="str">
        <f t="shared" si="18"/>
        <v/>
      </c>
      <c r="AJ61" s="174" t="str">
        <f t="shared" si="19"/>
        <v/>
      </c>
      <c r="AK61" s="175" t="str">
        <f t="shared" si="20"/>
        <v/>
      </c>
      <c r="AL61" s="176" t="str">
        <f t="shared" si="21"/>
        <v/>
      </c>
      <c r="AM61" s="177"/>
      <c r="AN61" s="718">
        <f>'Sam-Pojazdy-WSAD'!AP69</f>
        <v>0</v>
      </c>
      <c r="AO61" s="720">
        <v>1</v>
      </c>
      <c r="AP61" s="177"/>
      <c r="AQ61" s="177"/>
      <c r="AR61" s="177"/>
      <c r="AS61" s="177"/>
      <c r="AT61" s="177"/>
      <c r="AU61" s="177"/>
      <c r="AV61" s="177"/>
      <c r="AW61" s="177"/>
      <c r="AX61" s="177"/>
      <c r="AY61" s="177"/>
      <c r="AZ61" s="177"/>
      <c r="BA61" s="177"/>
    </row>
    <row r="62" spans="1:53" s="178" customFormat="1">
      <c r="A62" s="145"/>
      <c r="B62" s="713" t="str">
        <f>'Sam-Pojazdy-WSAD'!B62</f>
        <v>Bydgoskie Towarzystwo Żużlowe Polonia - inne</v>
      </c>
      <c r="C62" s="726" t="str">
        <f>'Sam-Pojazdy-WSAD'!C62</f>
        <v>BTZP</v>
      </c>
      <c r="D62" s="169">
        <f>$AO62*'Sam-Pojazdy-WSAD'!D7062</f>
        <v>0</v>
      </c>
      <c r="E62" s="170">
        <f>$AO62*'Sam-Pojazdy-WSAD'!E7062</f>
        <v>0</v>
      </c>
      <c r="F62" s="171">
        <f>D62*'Wskazniki emisji paliw'!L$19</f>
        <v>0</v>
      </c>
      <c r="G62" s="169">
        <f>$AO62*'Sam-Pojazdy-WSAD'!H7062</f>
        <v>0</v>
      </c>
      <c r="H62" s="170">
        <f>$AO62*'Sam-Pojazdy-WSAD'!I7062</f>
        <v>0</v>
      </c>
      <c r="I62" s="171">
        <f>G62*'Wskazniki emisji paliw'!L$18</f>
        <v>0</v>
      </c>
      <c r="J62" s="169">
        <f>$AO62*'Sam-Pojazdy-WSAD'!L7062</f>
        <v>0</v>
      </c>
      <c r="K62" s="170">
        <f>$AO62*'Sam-Pojazdy-WSAD'!M7062</f>
        <v>0</v>
      </c>
      <c r="L62" s="171">
        <f>J62*'Wskazniki emisji paliw'!$L$28</f>
        <v>0</v>
      </c>
      <c r="M62" s="169">
        <f>$AO62*'Sam-Pojazdy-WSAD'!O7062</f>
        <v>0</v>
      </c>
      <c r="N62" s="170">
        <f>$AO62*'Sam-Pojazdy-WSAD'!P7062</f>
        <v>0</v>
      </c>
      <c r="O62" s="171">
        <f>M62*'Wskazniki emisji paliw'!M$29</f>
        <v>0</v>
      </c>
      <c r="P62" s="169">
        <f>$AO62*'Sam-Pojazdy-WSAD'!R7062</f>
        <v>0</v>
      </c>
      <c r="Q62" s="170">
        <f>$AO62*'Sam-Pojazdy-WSAD'!S7062</f>
        <v>0</v>
      </c>
      <c r="R62" s="171">
        <f>P62*'Wskazniki emisji paliw'!L$21</f>
        <v>0</v>
      </c>
      <c r="S62" s="169">
        <f>$AO62*'Sam-Pojazdy-WSAD'!U7062</f>
        <v>0</v>
      </c>
      <c r="T62" s="170">
        <f>$AO62*'Sam-Pojazdy-WSAD'!V7062</f>
        <v>0</v>
      </c>
      <c r="U62" s="171">
        <f>S62*'Wskazniki emisji paliw'!L$19*(1-U$6)</f>
        <v>0</v>
      </c>
      <c r="V62" s="169">
        <f>$AO62*'Sam-Pojazdy-WSAD'!X7062</f>
        <v>0</v>
      </c>
      <c r="W62" s="170">
        <f>$AO62*'Sam-Pojazdy-WSAD'!Y7062</f>
        <v>0</v>
      </c>
      <c r="X62" s="171">
        <f>V62*'Wskazniki emisji paliw'!L$18*(1-X$6)</f>
        <v>0</v>
      </c>
      <c r="Y62" s="169">
        <f>$AO62*'Sam-Pojazdy-WSAD'!AA7062</f>
        <v>0</v>
      </c>
      <c r="Z62" s="170">
        <f>$AO62*'Sam-Pojazdy-WSAD'!AB7062</f>
        <v>0</v>
      </c>
      <c r="AA62" s="171">
        <f>Y62*(HLOOKUP(Ogolne!$D$6,'Wskazniki emisji elektrycznosc'!$B$8:$G$29,Ogolne!$E$7,TRUE))/1000</f>
        <v>0</v>
      </c>
      <c r="AB62" s="145"/>
      <c r="AC62" s="167" t="str">
        <f t="shared" si="22"/>
        <v>Bydgoskie Towarzystwo Żużlowe Polonia - inne</v>
      </c>
      <c r="AD62" s="167" t="str">
        <f t="shared" si="23"/>
        <v>BTZP</v>
      </c>
      <c r="AE62" s="172">
        <f>'Sam-Pojazdy-WSAD'!AG62</f>
        <v>3</v>
      </c>
      <c r="AF62" s="172">
        <f>'Sam-Pojazdy-WSAD'!AH62</f>
        <v>0</v>
      </c>
      <c r="AG62" s="170">
        <f t="shared" si="24"/>
        <v>0</v>
      </c>
      <c r="AH62" s="171">
        <f t="shared" si="25"/>
        <v>0</v>
      </c>
      <c r="AI62" s="173" t="str">
        <f t="shared" si="18"/>
        <v/>
      </c>
      <c r="AJ62" s="174">
        <f t="shared" si="19"/>
        <v>0</v>
      </c>
      <c r="AK62" s="175" t="str">
        <f t="shared" si="20"/>
        <v/>
      </c>
      <c r="AL62" s="176">
        <f t="shared" si="21"/>
        <v>0</v>
      </c>
      <c r="AM62" s="177"/>
      <c r="AN62" s="718">
        <f>'Sam-Pojazdy-WSAD'!AP70</f>
        <v>0</v>
      </c>
      <c r="AO62" s="720">
        <v>1</v>
      </c>
      <c r="AP62" s="177"/>
      <c r="AQ62" s="177"/>
      <c r="AR62" s="177"/>
      <c r="AS62" s="177"/>
      <c r="AT62" s="177"/>
      <c r="AU62" s="177"/>
      <c r="AV62" s="177"/>
      <c r="AW62" s="177"/>
      <c r="AX62" s="177"/>
      <c r="AY62" s="177"/>
      <c r="AZ62" s="177"/>
      <c r="BA62" s="177"/>
    </row>
    <row r="63" spans="1:53" s="178" customFormat="1">
      <c r="A63" s="145"/>
      <c r="B63" s="713" t="str">
        <f>'Sam-Pojazdy-WSAD'!B63</f>
        <v>Bydgoski Klub Sportowy Chemik - inne</v>
      </c>
      <c r="C63" s="726" t="str">
        <f>'Sam-Pojazdy-WSAD'!C63</f>
        <v>BKSC</v>
      </c>
      <c r="D63" s="169">
        <f>$AO63*'Sam-Pojazdy-WSAD'!D63</f>
        <v>616</v>
      </c>
      <c r="E63" s="170">
        <f>$AO63*'Sam-Pojazdy-WSAD'!E63</f>
        <v>2273.04</v>
      </c>
      <c r="F63" s="171">
        <f>D63*'Wskazniki emisji paliw'!L$19</f>
        <v>1.4775395712000001</v>
      </c>
      <c r="G63" s="169">
        <f>$AO63*'Sam-Pojazdy-WSAD'!H63</f>
        <v>780</v>
      </c>
      <c r="H63" s="170">
        <f>$AO63*'Sam-Pojazdy-WSAD'!I63</f>
        <v>2847</v>
      </c>
      <c r="I63" s="171">
        <f>G63*'Wskazniki emisji paliw'!L$18</f>
        <v>2.0882352221639993</v>
      </c>
      <c r="J63" s="169">
        <f>$AO63*'Sam-Pojazdy-WSAD'!L63</f>
        <v>0</v>
      </c>
      <c r="K63" s="170">
        <f>$AO63*'Sam-Pojazdy-WSAD'!M63</f>
        <v>0</v>
      </c>
      <c r="L63" s="171">
        <f>J63*'Wskazniki emisji paliw'!$L$28</f>
        <v>0</v>
      </c>
      <c r="M63" s="169">
        <f>$AO63*'Sam-Pojazdy-WSAD'!O63</f>
        <v>0</v>
      </c>
      <c r="N63" s="170">
        <f>$AO63*'Sam-Pojazdy-WSAD'!P63</f>
        <v>0</v>
      </c>
      <c r="O63" s="171">
        <f>M63*'Wskazniki emisji paliw'!M$29</f>
        <v>0</v>
      </c>
      <c r="P63" s="169">
        <f>$AO63*'Sam-Pojazdy-WSAD'!R63</f>
        <v>0</v>
      </c>
      <c r="Q63" s="170">
        <f>$AO63*'Sam-Pojazdy-WSAD'!S63</f>
        <v>0</v>
      </c>
      <c r="R63" s="171">
        <f>P63*'Wskazniki emisji paliw'!L$21</f>
        <v>0</v>
      </c>
      <c r="S63" s="169">
        <f>$AO63*'Sam-Pojazdy-WSAD'!U63</f>
        <v>0</v>
      </c>
      <c r="T63" s="170">
        <f>$AO63*'Sam-Pojazdy-WSAD'!V63</f>
        <v>0</v>
      </c>
      <c r="U63" s="171">
        <f>S63*'Wskazniki emisji paliw'!L$19*(1-U$6)</f>
        <v>0</v>
      </c>
      <c r="V63" s="169">
        <f>$AO63*'Sam-Pojazdy-WSAD'!X63</f>
        <v>0</v>
      </c>
      <c r="W63" s="170">
        <f>$AO63*'Sam-Pojazdy-WSAD'!Y63</f>
        <v>0</v>
      </c>
      <c r="X63" s="171">
        <f>V63*'Wskazniki emisji paliw'!L$18*(1-X$6)</f>
        <v>0</v>
      </c>
      <c r="Y63" s="169">
        <f>$AO63*'Sam-Pojazdy-WSAD'!AA63</f>
        <v>0</v>
      </c>
      <c r="Z63" s="170">
        <f>$AO63*'Sam-Pojazdy-WSAD'!AB63</f>
        <v>0</v>
      </c>
      <c r="AA63" s="171">
        <f>Y63*(HLOOKUP(Ogolne!$D$6,'Wskazniki emisji elektrycznosc'!$B$8:$G$29,Ogolne!$E$7,TRUE))/1000</f>
        <v>0</v>
      </c>
      <c r="AB63" s="145"/>
      <c r="AC63" s="167" t="str">
        <f t="shared" si="22"/>
        <v>Bydgoski Klub Sportowy Chemik - inne</v>
      </c>
      <c r="AD63" s="167" t="str">
        <f t="shared" si="23"/>
        <v>BKSC</v>
      </c>
      <c r="AE63" s="172">
        <f>'Sam-Pojazdy-WSAD'!AG63</f>
        <v>3</v>
      </c>
      <c r="AF63" s="172">
        <f>'Sam-Pojazdy-WSAD'!AH63</f>
        <v>0</v>
      </c>
      <c r="AG63" s="170">
        <f t="shared" si="24"/>
        <v>5120.04</v>
      </c>
      <c r="AH63" s="171">
        <f t="shared" si="25"/>
        <v>3.5657747933639996</v>
      </c>
      <c r="AI63" s="173" t="str">
        <f t="shared" si="18"/>
        <v/>
      </c>
      <c r="AJ63" s="174">
        <f t="shared" si="19"/>
        <v>1706.68</v>
      </c>
      <c r="AK63" s="175" t="str">
        <f t="shared" si="20"/>
        <v/>
      </c>
      <c r="AL63" s="176">
        <f t="shared" si="21"/>
        <v>1.1885915977879999</v>
      </c>
      <c r="AM63" s="177"/>
      <c r="AN63" s="718">
        <f>'Sam-Pojazdy-WSAD'!AP71</f>
        <v>0</v>
      </c>
      <c r="AO63" s="720">
        <v>1</v>
      </c>
      <c r="AP63" s="177"/>
      <c r="AQ63" s="177"/>
      <c r="AR63" s="177"/>
      <c r="AS63" s="177"/>
      <c r="AT63" s="177"/>
      <c r="AU63" s="177"/>
      <c r="AV63" s="177"/>
      <c r="AW63" s="177"/>
      <c r="AX63" s="177"/>
      <c r="AY63" s="177"/>
      <c r="AZ63" s="177"/>
      <c r="BA63" s="177"/>
    </row>
    <row r="64" spans="1:53" s="178" customFormat="1">
      <c r="A64" s="145"/>
      <c r="B64" s="713" t="str">
        <f>'Sam-Pojazdy-WSAD'!B64</f>
        <v>Zarząd Dróg Miejskich i Komunikacji Publicznej w Bydgoszczy - inne</v>
      </c>
      <c r="C64" s="726" t="str">
        <f>'Sam-Pojazdy-WSAD'!C64</f>
        <v>ZDMIKP</v>
      </c>
      <c r="D64" s="169">
        <f>$AO64*'Sam-Pojazdy-WSAD'!D64</f>
        <v>0</v>
      </c>
      <c r="E64" s="170">
        <f>$AO64*'Sam-Pojazdy-WSAD'!E64</f>
        <v>0</v>
      </c>
      <c r="F64" s="171">
        <f>D64*'Wskazniki emisji paliw'!L$19</f>
        <v>0</v>
      </c>
      <c r="G64" s="169">
        <f>$AO64*'Sam-Pojazdy-WSAD'!H64</f>
        <v>34130</v>
      </c>
      <c r="H64" s="170">
        <f>$AO64*'Sam-Pojazdy-WSAD'!I64</f>
        <v>122037</v>
      </c>
      <c r="I64" s="171">
        <f>G64*'Wskazniki emisji paliw'!L$18</f>
        <v>91.373677092893971</v>
      </c>
      <c r="J64" s="169">
        <f>$AO64*'Sam-Pojazdy-WSAD'!L64</f>
        <v>0</v>
      </c>
      <c r="K64" s="170">
        <f>$AO64*'Sam-Pojazdy-WSAD'!M64</f>
        <v>0</v>
      </c>
      <c r="L64" s="171">
        <f>J64*'Wskazniki emisji paliw'!$L$28</f>
        <v>0</v>
      </c>
      <c r="M64" s="169">
        <f>$AO64*'Sam-Pojazdy-WSAD'!O64</f>
        <v>0</v>
      </c>
      <c r="N64" s="170">
        <f>$AO64*'Sam-Pojazdy-WSAD'!P64</f>
        <v>0</v>
      </c>
      <c r="O64" s="171">
        <f>M64*'Wskazniki emisji paliw'!M$29</f>
        <v>0</v>
      </c>
      <c r="P64" s="169">
        <f>$AO64*'Sam-Pojazdy-WSAD'!R64</f>
        <v>0</v>
      </c>
      <c r="Q64" s="170">
        <f>$AO64*'Sam-Pojazdy-WSAD'!S64</f>
        <v>0</v>
      </c>
      <c r="R64" s="171">
        <f>P64*'Wskazniki emisji paliw'!L$21</f>
        <v>0</v>
      </c>
      <c r="S64" s="169">
        <f>$AO64*'Sam-Pojazdy-WSAD'!U64</f>
        <v>0</v>
      </c>
      <c r="T64" s="170">
        <f>$AO64*'Sam-Pojazdy-WSAD'!V64</f>
        <v>0</v>
      </c>
      <c r="U64" s="171">
        <f>S64*'Wskazniki emisji paliw'!L$19*(1-U$6)</f>
        <v>0</v>
      </c>
      <c r="V64" s="169">
        <f>$AO64*'Sam-Pojazdy-WSAD'!X64</f>
        <v>0</v>
      </c>
      <c r="W64" s="170">
        <f>$AO64*'Sam-Pojazdy-WSAD'!Y64</f>
        <v>0</v>
      </c>
      <c r="X64" s="171">
        <f>V64*'Wskazniki emisji paliw'!L$18*(1-X$6)</f>
        <v>0</v>
      </c>
      <c r="Y64" s="169">
        <f>$AO64*'Sam-Pojazdy-WSAD'!AA64</f>
        <v>0</v>
      </c>
      <c r="Z64" s="170">
        <f>$AO64*'Sam-Pojazdy-WSAD'!AB64</f>
        <v>0</v>
      </c>
      <c r="AA64" s="171">
        <f>Y64*(HLOOKUP(Ogolne!$D$6,'Wskazniki emisji elektrycznosc'!$B$8:$G$29,Ogolne!$E$7,TRUE))/1000</f>
        <v>0</v>
      </c>
      <c r="AB64" s="145"/>
      <c r="AC64" s="167" t="str">
        <f t="shared" si="22"/>
        <v>Zarząd Dróg Miejskich i Komunikacji Publicznej w Bydgoszczy - inne</v>
      </c>
      <c r="AD64" s="167" t="str">
        <f t="shared" si="23"/>
        <v>ZDMIKP</v>
      </c>
      <c r="AE64" s="172">
        <f>'Sam-Pojazdy-WSAD'!AG64</f>
        <v>4</v>
      </c>
      <c r="AF64" s="172">
        <f>'Sam-Pojazdy-WSAD'!AH64</f>
        <v>0</v>
      </c>
      <c r="AG64" s="170">
        <f t="shared" si="24"/>
        <v>122037</v>
      </c>
      <c r="AH64" s="171">
        <f t="shared" si="25"/>
        <v>91.373677092893971</v>
      </c>
      <c r="AI64" s="173" t="str">
        <f t="shared" si="18"/>
        <v/>
      </c>
      <c r="AJ64" s="174">
        <f t="shared" si="19"/>
        <v>30509.25</v>
      </c>
      <c r="AK64" s="175" t="str">
        <f t="shared" si="20"/>
        <v/>
      </c>
      <c r="AL64" s="176">
        <f t="shared" si="21"/>
        <v>22.843419273223493</v>
      </c>
      <c r="AM64" s="177"/>
      <c r="AN64" s="718">
        <f>'Sam-Pojazdy-WSAD'!AP72</f>
        <v>0</v>
      </c>
      <c r="AO64" s="720">
        <v>1</v>
      </c>
      <c r="AP64" s="177"/>
      <c r="AQ64" s="177"/>
      <c r="AR64" s="177"/>
      <c r="AS64" s="177"/>
      <c r="AT64" s="177"/>
      <c r="AU64" s="177"/>
      <c r="AV64" s="177"/>
      <c r="AW64" s="177"/>
      <c r="AX64" s="177"/>
      <c r="AY64" s="177"/>
      <c r="AZ64" s="177"/>
      <c r="BA64" s="177"/>
    </row>
    <row r="65" spans="1:53" s="178" customFormat="1">
      <c r="A65" s="145"/>
      <c r="B65" s="713">
        <f>'Sam-Pojazdy-WSAD'!B65</f>
        <v>0</v>
      </c>
      <c r="C65" s="726">
        <f>'Sam-Pojazdy-WSAD'!C65</f>
        <v>0</v>
      </c>
      <c r="D65" s="169">
        <f>$AO65*'Sam-Pojazdy-WSAD'!D65</f>
        <v>0</v>
      </c>
      <c r="E65" s="170">
        <f>$AO65*'Sam-Pojazdy-WSAD'!E65</f>
        <v>0</v>
      </c>
      <c r="F65" s="171">
        <f>D65*'Wskazniki emisji paliw'!L$19</f>
        <v>0</v>
      </c>
      <c r="G65" s="169">
        <f>$AO65*'Sam-Pojazdy-WSAD'!H65</f>
        <v>0</v>
      </c>
      <c r="H65" s="170">
        <f>$AO65*'Sam-Pojazdy-WSAD'!I65</f>
        <v>0</v>
      </c>
      <c r="I65" s="171">
        <f>G65*'Wskazniki emisji paliw'!L$18</f>
        <v>0</v>
      </c>
      <c r="J65" s="169">
        <f>$AO65*'Sam-Pojazdy-WSAD'!L65</f>
        <v>0</v>
      </c>
      <c r="K65" s="170">
        <f>$AO65*'Sam-Pojazdy-WSAD'!M65</f>
        <v>0</v>
      </c>
      <c r="L65" s="171">
        <f>J65*'Wskazniki emisji paliw'!$L$28</f>
        <v>0</v>
      </c>
      <c r="M65" s="169">
        <f>$AO65*'Sam-Pojazdy-WSAD'!O65</f>
        <v>0</v>
      </c>
      <c r="N65" s="170">
        <f>$AO65*'Sam-Pojazdy-WSAD'!P65</f>
        <v>0</v>
      </c>
      <c r="O65" s="171">
        <f>M65*'Wskazniki emisji paliw'!M$29</f>
        <v>0</v>
      </c>
      <c r="P65" s="169">
        <f>$AO65*'Sam-Pojazdy-WSAD'!R65</f>
        <v>0</v>
      </c>
      <c r="Q65" s="170">
        <f>$AO65*'Sam-Pojazdy-WSAD'!S65</f>
        <v>0</v>
      </c>
      <c r="R65" s="171">
        <f>P65*'Wskazniki emisji paliw'!L$21</f>
        <v>0</v>
      </c>
      <c r="S65" s="169">
        <f>$AO65*'Sam-Pojazdy-WSAD'!U65</f>
        <v>0</v>
      </c>
      <c r="T65" s="170">
        <f>$AO65*'Sam-Pojazdy-WSAD'!V65</f>
        <v>0</v>
      </c>
      <c r="U65" s="171">
        <f>S65*'Wskazniki emisji paliw'!L$19*(1-U$6)</f>
        <v>0</v>
      </c>
      <c r="V65" s="169">
        <f>$AO65*'Sam-Pojazdy-WSAD'!X65</f>
        <v>0</v>
      </c>
      <c r="W65" s="170">
        <f>$AO65*'Sam-Pojazdy-WSAD'!Y65</f>
        <v>0</v>
      </c>
      <c r="X65" s="171">
        <f>V65*'Wskazniki emisji paliw'!L$18*(1-X$6)</f>
        <v>0</v>
      </c>
      <c r="Y65" s="169">
        <f>$AO65*'Sam-Pojazdy-WSAD'!AA65</f>
        <v>0</v>
      </c>
      <c r="Z65" s="170">
        <f>$AO65*'Sam-Pojazdy-WSAD'!AB65</f>
        <v>0</v>
      </c>
      <c r="AA65" s="171">
        <f>Y65*(HLOOKUP(Ogolne!$D$6,'Wskazniki emisji elektrycznosc'!$B$8:$G$29,Ogolne!$E$7,TRUE))/1000</f>
        <v>0</v>
      </c>
      <c r="AB65" s="145"/>
      <c r="AC65" s="167">
        <f t="shared" si="22"/>
        <v>0</v>
      </c>
      <c r="AD65" s="167">
        <f t="shared" si="23"/>
        <v>0</v>
      </c>
      <c r="AE65" s="172">
        <f>'Sam-Pojazdy-WSAD'!AG65</f>
        <v>0</v>
      </c>
      <c r="AF65" s="172">
        <f>'Sam-Pojazdy-WSAD'!AH65</f>
        <v>0</v>
      </c>
      <c r="AG65" s="170">
        <f t="shared" si="24"/>
        <v>0</v>
      </c>
      <c r="AH65" s="171">
        <f t="shared" si="25"/>
        <v>0</v>
      </c>
      <c r="AI65" s="173" t="str">
        <f t="shared" si="18"/>
        <v/>
      </c>
      <c r="AJ65" s="174" t="str">
        <f t="shared" si="19"/>
        <v/>
      </c>
      <c r="AK65" s="175" t="str">
        <f t="shared" si="20"/>
        <v/>
      </c>
      <c r="AL65" s="176" t="str">
        <f t="shared" si="21"/>
        <v/>
      </c>
      <c r="AM65" s="177"/>
      <c r="AN65" s="718">
        <f>'Sam-Pojazdy-WSAD'!AP73</f>
        <v>0</v>
      </c>
      <c r="AO65" s="720"/>
      <c r="AP65" s="177"/>
      <c r="AQ65" s="177"/>
      <c r="AR65" s="177"/>
      <c r="AS65" s="177"/>
      <c r="AT65" s="177"/>
      <c r="AU65" s="177"/>
      <c r="AV65" s="177"/>
      <c r="AW65" s="177"/>
      <c r="AX65" s="177"/>
      <c r="AY65" s="177"/>
      <c r="AZ65" s="177"/>
      <c r="BA65" s="177"/>
    </row>
    <row r="66" spans="1:53" s="178" customFormat="1">
      <c r="A66" s="145"/>
      <c r="B66" s="713">
        <f>'Sam-Pojazdy-WSAD'!B66</f>
        <v>0</v>
      </c>
      <c r="C66" s="726">
        <f>'Sam-Pojazdy-WSAD'!C66</f>
        <v>0</v>
      </c>
      <c r="D66" s="169">
        <f>$AO66*'Sam-Pojazdy-WSAD'!D66</f>
        <v>0</v>
      </c>
      <c r="E66" s="170">
        <f>$AO66*'Sam-Pojazdy-WSAD'!E66</f>
        <v>0</v>
      </c>
      <c r="F66" s="171">
        <f>D66*'Wskazniki emisji paliw'!L$19</f>
        <v>0</v>
      </c>
      <c r="G66" s="169">
        <f>$AO66*'Sam-Pojazdy-WSAD'!H66</f>
        <v>0</v>
      </c>
      <c r="H66" s="170">
        <f>$AO66*'Sam-Pojazdy-WSAD'!I66</f>
        <v>0</v>
      </c>
      <c r="I66" s="171">
        <f>G66*'Wskazniki emisji paliw'!L$18</f>
        <v>0</v>
      </c>
      <c r="J66" s="169">
        <f>$AO66*'Sam-Pojazdy-WSAD'!L66</f>
        <v>0</v>
      </c>
      <c r="K66" s="170">
        <f>$AO66*'Sam-Pojazdy-WSAD'!M66</f>
        <v>0</v>
      </c>
      <c r="L66" s="171">
        <f>J66*'Wskazniki emisji paliw'!$L$28</f>
        <v>0</v>
      </c>
      <c r="M66" s="169">
        <f>$AO66*'Sam-Pojazdy-WSAD'!O66</f>
        <v>0</v>
      </c>
      <c r="N66" s="170">
        <f>$AO66*'Sam-Pojazdy-WSAD'!P66</f>
        <v>0</v>
      </c>
      <c r="O66" s="171">
        <f>M66*'Wskazniki emisji paliw'!M$29</f>
        <v>0</v>
      </c>
      <c r="P66" s="169">
        <f>$AO66*'Sam-Pojazdy-WSAD'!R66</f>
        <v>0</v>
      </c>
      <c r="Q66" s="170">
        <f>$AO66*'Sam-Pojazdy-WSAD'!S66</f>
        <v>0</v>
      </c>
      <c r="R66" s="171">
        <f>P66*'Wskazniki emisji paliw'!L$21</f>
        <v>0</v>
      </c>
      <c r="S66" s="169">
        <f>$AO66*'Sam-Pojazdy-WSAD'!U66</f>
        <v>0</v>
      </c>
      <c r="T66" s="170">
        <f>$AO66*'Sam-Pojazdy-WSAD'!V66</f>
        <v>0</v>
      </c>
      <c r="U66" s="171">
        <f>S66*'Wskazniki emisji paliw'!L$19*(1-U$6)</f>
        <v>0</v>
      </c>
      <c r="V66" s="169">
        <f>$AO66*'Sam-Pojazdy-WSAD'!X66</f>
        <v>0</v>
      </c>
      <c r="W66" s="170">
        <f>$AO66*'Sam-Pojazdy-WSAD'!Y66</f>
        <v>0</v>
      </c>
      <c r="X66" s="171">
        <f>V66*'Wskazniki emisji paliw'!L$18*(1-X$6)</f>
        <v>0</v>
      </c>
      <c r="Y66" s="169">
        <f>$AO66*'Sam-Pojazdy-WSAD'!AA66</f>
        <v>0</v>
      </c>
      <c r="Z66" s="170">
        <f>$AO66*'Sam-Pojazdy-WSAD'!AB66</f>
        <v>0</v>
      </c>
      <c r="AA66" s="171">
        <f>Y66*(HLOOKUP(Ogolne!$D$6,'Wskazniki emisji elektrycznosc'!$B$8:$G$29,Ogolne!$E$7,TRUE))/1000</f>
        <v>0</v>
      </c>
      <c r="AB66" s="145"/>
      <c r="AC66" s="167">
        <f t="shared" si="22"/>
        <v>0</v>
      </c>
      <c r="AD66" s="167">
        <f t="shared" si="23"/>
        <v>0</v>
      </c>
      <c r="AE66" s="172">
        <f>'Sam-Pojazdy-WSAD'!AG66</f>
        <v>0</v>
      </c>
      <c r="AF66" s="172">
        <f>'Sam-Pojazdy-WSAD'!AH66</f>
        <v>0</v>
      </c>
      <c r="AG66" s="170">
        <f t="shared" si="24"/>
        <v>0</v>
      </c>
      <c r="AH66" s="171">
        <f t="shared" si="25"/>
        <v>0</v>
      </c>
      <c r="AI66" s="173" t="str">
        <f t="shared" si="18"/>
        <v/>
      </c>
      <c r="AJ66" s="174" t="str">
        <f t="shared" si="19"/>
        <v/>
      </c>
      <c r="AK66" s="175" t="str">
        <f t="shared" si="20"/>
        <v/>
      </c>
      <c r="AL66" s="176" t="str">
        <f t="shared" si="21"/>
        <v/>
      </c>
      <c r="AM66" s="177"/>
      <c r="AN66" s="718">
        <f>'Sam-Pojazdy-WSAD'!AP74</f>
        <v>0</v>
      </c>
      <c r="AO66" s="720"/>
      <c r="AP66" s="177"/>
      <c r="AQ66" s="177"/>
      <c r="AR66" s="177"/>
      <c r="AS66" s="177"/>
      <c r="AT66" s="177"/>
      <c r="AU66" s="177"/>
      <c r="AV66" s="177"/>
      <c r="AW66" s="177"/>
      <c r="AX66" s="177"/>
      <c r="AY66" s="177"/>
      <c r="AZ66" s="177"/>
      <c r="BA66" s="177"/>
    </row>
    <row r="67" spans="1:53" s="178" customFormat="1">
      <c r="A67" s="145"/>
      <c r="B67" s="713">
        <f>'Sam-Pojazdy-WSAD'!B67</f>
        <v>0</v>
      </c>
      <c r="C67" s="726">
        <f>'Sam-Pojazdy-WSAD'!C67</f>
        <v>0</v>
      </c>
      <c r="D67" s="169">
        <f>$AO67*'Sam-Pojazdy-WSAD'!D67</f>
        <v>0</v>
      </c>
      <c r="E67" s="170">
        <f>$AO67*'Sam-Pojazdy-WSAD'!E67</f>
        <v>0</v>
      </c>
      <c r="F67" s="171">
        <f>D67*'Wskazniki emisji paliw'!L$19</f>
        <v>0</v>
      </c>
      <c r="G67" s="169">
        <f>$AO67*'Sam-Pojazdy-WSAD'!H67</f>
        <v>0</v>
      </c>
      <c r="H67" s="170">
        <f>$AO67*'Sam-Pojazdy-WSAD'!I67</f>
        <v>0</v>
      </c>
      <c r="I67" s="171">
        <f>G67*'Wskazniki emisji paliw'!L$18</f>
        <v>0</v>
      </c>
      <c r="J67" s="169">
        <f>$AO67*'Sam-Pojazdy-WSAD'!L67</f>
        <v>0</v>
      </c>
      <c r="K67" s="170">
        <f>$AO67*'Sam-Pojazdy-WSAD'!M67</f>
        <v>0</v>
      </c>
      <c r="L67" s="171">
        <f>J67*'Wskazniki emisji paliw'!$L$28</f>
        <v>0</v>
      </c>
      <c r="M67" s="169">
        <f>$AO67*'Sam-Pojazdy-WSAD'!O67</f>
        <v>0</v>
      </c>
      <c r="N67" s="170">
        <f>$AO67*'Sam-Pojazdy-WSAD'!P67</f>
        <v>0</v>
      </c>
      <c r="O67" s="171">
        <f>M67*'Wskazniki emisji paliw'!M$29</f>
        <v>0</v>
      </c>
      <c r="P67" s="169">
        <f>$AO67*'Sam-Pojazdy-WSAD'!R67</f>
        <v>0</v>
      </c>
      <c r="Q67" s="170">
        <f>$AO67*'Sam-Pojazdy-WSAD'!S67</f>
        <v>0</v>
      </c>
      <c r="R67" s="171">
        <f>P67*'Wskazniki emisji paliw'!L$21</f>
        <v>0</v>
      </c>
      <c r="S67" s="169">
        <f>$AO67*'Sam-Pojazdy-WSAD'!U67</f>
        <v>0</v>
      </c>
      <c r="T67" s="170">
        <f>$AO67*'Sam-Pojazdy-WSAD'!V67</f>
        <v>0</v>
      </c>
      <c r="U67" s="171">
        <f>S67*'Wskazniki emisji paliw'!L$19*(1-U$6)</f>
        <v>0</v>
      </c>
      <c r="V67" s="169">
        <f>$AO67*'Sam-Pojazdy-WSAD'!X67</f>
        <v>0</v>
      </c>
      <c r="W67" s="170">
        <f>$AO67*'Sam-Pojazdy-WSAD'!Y67</f>
        <v>0</v>
      </c>
      <c r="X67" s="171">
        <f>V67*'Wskazniki emisji paliw'!L$18*(1-X$6)</f>
        <v>0</v>
      </c>
      <c r="Y67" s="169">
        <f>$AO67*'Sam-Pojazdy-WSAD'!AA67</f>
        <v>0</v>
      </c>
      <c r="Z67" s="170">
        <f>$AO67*'Sam-Pojazdy-WSAD'!AB67</f>
        <v>0</v>
      </c>
      <c r="AA67" s="171">
        <f>Y67*(HLOOKUP(Ogolne!$D$6,'Wskazniki emisji elektrycznosc'!$B$8:$G$29,Ogolne!$E$7,TRUE))/1000</f>
        <v>0</v>
      </c>
      <c r="AB67" s="145"/>
      <c r="AC67" s="167">
        <f t="shared" si="22"/>
        <v>0</v>
      </c>
      <c r="AD67" s="167">
        <f t="shared" si="23"/>
        <v>0</v>
      </c>
      <c r="AE67" s="172">
        <f>'Sam-Pojazdy-WSAD'!AG67</f>
        <v>0</v>
      </c>
      <c r="AF67" s="172">
        <f>'Sam-Pojazdy-WSAD'!AH67</f>
        <v>0</v>
      </c>
      <c r="AG67" s="170">
        <f t="shared" si="24"/>
        <v>0</v>
      </c>
      <c r="AH67" s="171">
        <f t="shared" si="25"/>
        <v>0</v>
      </c>
      <c r="AI67" s="173" t="str">
        <f t="shared" si="18"/>
        <v/>
      </c>
      <c r="AJ67" s="174" t="str">
        <f t="shared" si="19"/>
        <v/>
      </c>
      <c r="AK67" s="175" t="str">
        <f t="shared" si="20"/>
        <v/>
      </c>
      <c r="AL67" s="176" t="str">
        <f t="shared" si="21"/>
        <v/>
      </c>
      <c r="AM67" s="177"/>
      <c r="AN67" s="718">
        <f>'Sam-Pojazdy-WSAD'!AP75</f>
        <v>0</v>
      </c>
      <c r="AO67" s="720"/>
      <c r="AP67" s="177"/>
      <c r="AQ67" s="177"/>
      <c r="AR67" s="177"/>
      <c r="AS67" s="177"/>
      <c r="AT67" s="177"/>
      <c r="AU67" s="177"/>
      <c r="AV67" s="177"/>
      <c r="AW67" s="177"/>
      <c r="AX67" s="177"/>
      <c r="AY67" s="177"/>
      <c r="AZ67" s="177"/>
      <c r="BA67" s="177"/>
    </row>
    <row r="68" spans="1:53" s="178" customFormat="1">
      <c r="A68" s="145"/>
      <c r="B68" s="713">
        <f>'Sam-Pojazdy-WSAD'!B68</f>
        <v>0</v>
      </c>
      <c r="C68" s="726">
        <f>'Sam-Pojazdy-WSAD'!C68</f>
        <v>0</v>
      </c>
      <c r="D68" s="169">
        <f>$AO68*'Sam-Pojazdy-WSAD'!D68</f>
        <v>0</v>
      </c>
      <c r="E68" s="170">
        <f>$AO68*'Sam-Pojazdy-WSAD'!E68</f>
        <v>0</v>
      </c>
      <c r="F68" s="171">
        <f>D68*'Wskazniki emisji paliw'!L$19</f>
        <v>0</v>
      </c>
      <c r="G68" s="169">
        <f>$AO68*'Sam-Pojazdy-WSAD'!H68</f>
        <v>0</v>
      </c>
      <c r="H68" s="170">
        <f>$AO68*'Sam-Pojazdy-WSAD'!I68</f>
        <v>0</v>
      </c>
      <c r="I68" s="171">
        <f>G68*'Wskazniki emisji paliw'!L$18</f>
        <v>0</v>
      </c>
      <c r="J68" s="169">
        <f>$AO68*'Sam-Pojazdy-WSAD'!L68</f>
        <v>0</v>
      </c>
      <c r="K68" s="170">
        <f>$AO68*'Sam-Pojazdy-WSAD'!M68</f>
        <v>0</v>
      </c>
      <c r="L68" s="171">
        <f>J68*'Wskazniki emisji paliw'!$L$28</f>
        <v>0</v>
      </c>
      <c r="M68" s="169">
        <f>$AO68*'Sam-Pojazdy-WSAD'!O68</f>
        <v>0</v>
      </c>
      <c r="N68" s="170">
        <f>$AO68*'Sam-Pojazdy-WSAD'!P68</f>
        <v>0</v>
      </c>
      <c r="O68" s="171">
        <f>M68*'Wskazniki emisji paliw'!M$29</f>
        <v>0</v>
      </c>
      <c r="P68" s="169">
        <f>$AO68*'Sam-Pojazdy-WSAD'!R68</f>
        <v>0</v>
      </c>
      <c r="Q68" s="170">
        <f>$AO68*'Sam-Pojazdy-WSAD'!S68</f>
        <v>0</v>
      </c>
      <c r="R68" s="171">
        <f>P68*'Wskazniki emisji paliw'!L$21</f>
        <v>0</v>
      </c>
      <c r="S68" s="169">
        <f>$AO68*'Sam-Pojazdy-WSAD'!U68</f>
        <v>0</v>
      </c>
      <c r="T68" s="170">
        <f>$AO68*'Sam-Pojazdy-WSAD'!V68</f>
        <v>0</v>
      </c>
      <c r="U68" s="171">
        <f>S68*'Wskazniki emisji paliw'!L$19*(1-U$6)</f>
        <v>0</v>
      </c>
      <c r="V68" s="169">
        <f>$AO68*'Sam-Pojazdy-WSAD'!X68</f>
        <v>0</v>
      </c>
      <c r="W68" s="170">
        <f>$AO68*'Sam-Pojazdy-WSAD'!Y68</f>
        <v>0</v>
      </c>
      <c r="X68" s="171">
        <f>V68*'Wskazniki emisji paliw'!L$18*(1-X$6)</f>
        <v>0</v>
      </c>
      <c r="Y68" s="169">
        <f>$AO68*'Sam-Pojazdy-WSAD'!AA68</f>
        <v>0</v>
      </c>
      <c r="Z68" s="170">
        <f>$AO68*'Sam-Pojazdy-WSAD'!AB68</f>
        <v>0</v>
      </c>
      <c r="AA68" s="171">
        <f>Y68*(HLOOKUP(Ogolne!$D$6,'Wskazniki emisji elektrycznosc'!$B$8:$G$29,Ogolne!$E$7,TRUE))/1000</f>
        <v>0</v>
      </c>
      <c r="AB68" s="145"/>
      <c r="AC68" s="167">
        <f t="shared" si="22"/>
        <v>0</v>
      </c>
      <c r="AD68" s="167">
        <f t="shared" si="23"/>
        <v>0</v>
      </c>
      <c r="AE68" s="172">
        <f>'Sam-Pojazdy-WSAD'!AG68</f>
        <v>0</v>
      </c>
      <c r="AF68" s="172">
        <f>'Sam-Pojazdy-WSAD'!AH68</f>
        <v>0</v>
      </c>
      <c r="AG68" s="170">
        <f t="shared" si="24"/>
        <v>0</v>
      </c>
      <c r="AH68" s="171">
        <f t="shared" si="25"/>
        <v>0</v>
      </c>
      <c r="AI68" s="173" t="str">
        <f t="shared" si="18"/>
        <v/>
      </c>
      <c r="AJ68" s="174" t="str">
        <f t="shared" si="19"/>
        <v/>
      </c>
      <c r="AK68" s="175" t="str">
        <f t="shared" si="20"/>
        <v/>
      </c>
      <c r="AL68" s="176" t="str">
        <f t="shared" si="21"/>
        <v/>
      </c>
      <c r="AM68" s="177"/>
      <c r="AN68" s="718">
        <f>'Sam-Pojazdy-WSAD'!AP76</f>
        <v>0</v>
      </c>
      <c r="AO68" s="720"/>
      <c r="AP68" s="177"/>
      <c r="AQ68" s="177"/>
      <c r="AR68" s="177"/>
      <c r="AS68" s="177"/>
      <c r="AT68" s="177"/>
      <c r="AU68" s="177"/>
      <c r="AV68" s="177"/>
      <c r="AW68" s="177"/>
      <c r="AX68" s="177"/>
      <c r="AY68" s="177"/>
      <c r="AZ68" s="177"/>
      <c r="BA68" s="177"/>
    </row>
    <row r="69" spans="1:53" s="178" customFormat="1">
      <c r="A69" s="145"/>
      <c r="B69" s="756" t="str">
        <f>'Sam-Pojazdy-WSAD'!B69</f>
        <v>Skopiuj i wklej ten wiersz zanim go wypełnisz.</v>
      </c>
      <c r="C69" s="726">
        <f>'Sam-Pojazdy-WSAD'!C69</f>
        <v>0</v>
      </c>
      <c r="D69" s="169">
        <f>$AO69*'Sam-Pojazdy-WSAD'!D69</f>
        <v>0</v>
      </c>
      <c r="E69" s="170">
        <f>$AO69*'Sam-Pojazdy-WSAD'!E69</f>
        <v>0</v>
      </c>
      <c r="F69" s="171">
        <f>D69*'Wskazniki emisji paliw'!L$19</f>
        <v>0</v>
      </c>
      <c r="G69" s="169">
        <f>$AO69*'Sam-Pojazdy-WSAD'!H69</f>
        <v>0</v>
      </c>
      <c r="H69" s="170">
        <f>$AO69*'Sam-Pojazdy-WSAD'!I69</f>
        <v>0</v>
      </c>
      <c r="I69" s="171">
        <f>G69*'Wskazniki emisji paliw'!L$18</f>
        <v>0</v>
      </c>
      <c r="J69" s="169">
        <f>$AO69*'Sam-Pojazdy-WSAD'!L69</f>
        <v>0</v>
      </c>
      <c r="K69" s="170">
        <f>$AO69*'Sam-Pojazdy-WSAD'!M69</f>
        <v>0</v>
      </c>
      <c r="L69" s="171">
        <f>J69*'Wskazniki emisji paliw'!$L$28</f>
        <v>0</v>
      </c>
      <c r="M69" s="169">
        <f>$AO69*'Sam-Pojazdy-WSAD'!O69</f>
        <v>0</v>
      </c>
      <c r="N69" s="170">
        <f>$AO69*'Sam-Pojazdy-WSAD'!P69</f>
        <v>0</v>
      </c>
      <c r="O69" s="171">
        <f>M69*'Wskazniki emisji paliw'!M$29</f>
        <v>0</v>
      </c>
      <c r="P69" s="169">
        <f>$AO69*'Sam-Pojazdy-WSAD'!R69</f>
        <v>0</v>
      </c>
      <c r="Q69" s="170">
        <f>$AO69*'Sam-Pojazdy-WSAD'!S69</f>
        <v>0</v>
      </c>
      <c r="R69" s="171">
        <f>P69*'Wskazniki emisji paliw'!L$21</f>
        <v>0</v>
      </c>
      <c r="S69" s="169">
        <f>$AO69*'Sam-Pojazdy-WSAD'!U69</f>
        <v>0</v>
      </c>
      <c r="T69" s="170">
        <f>$AO69*'Sam-Pojazdy-WSAD'!V69</f>
        <v>0</v>
      </c>
      <c r="U69" s="171">
        <f>S69*'Wskazniki emisji paliw'!L$19*(1-U$6)</f>
        <v>0</v>
      </c>
      <c r="V69" s="169">
        <f>$AO69*'Sam-Pojazdy-WSAD'!X69</f>
        <v>0</v>
      </c>
      <c r="W69" s="170">
        <f>$AO69*'Sam-Pojazdy-WSAD'!Y69</f>
        <v>0</v>
      </c>
      <c r="X69" s="171">
        <f>V69*'Wskazniki emisji paliw'!L$18*(1-X$6)</f>
        <v>0</v>
      </c>
      <c r="Y69" s="169">
        <f>$AO69*'Sam-Pojazdy-WSAD'!AA69</f>
        <v>0</v>
      </c>
      <c r="Z69" s="170">
        <f>$AO69*'Sam-Pojazdy-WSAD'!AB69</f>
        <v>0</v>
      </c>
      <c r="AA69" s="171">
        <f>Y69*(HLOOKUP(Ogolne!$D$6,'Wskazniki emisji elektrycznosc'!$B$8:$G$29,Ogolne!$E$7,TRUE))/1000</f>
        <v>0</v>
      </c>
      <c r="AB69" s="145"/>
      <c r="AC69" s="167" t="str">
        <f t="shared" si="22"/>
        <v>Skopiuj i wklej ten wiersz zanim go wypełnisz.</v>
      </c>
      <c r="AD69" s="167">
        <f t="shared" si="23"/>
        <v>0</v>
      </c>
      <c r="AE69" s="172">
        <f>'Sam-Pojazdy-WSAD'!AG69</f>
        <v>0</v>
      </c>
      <c r="AF69" s="172">
        <f>'Sam-Pojazdy-WSAD'!AH69</f>
        <v>0</v>
      </c>
      <c r="AG69" s="170">
        <f t="shared" si="24"/>
        <v>0</v>
      </c>
      <c r="AH69" s="171">
        <f t="shared" si="25"/>
        <v>0</v>
      </c>
      <c r="AI69" s="173" t="str">
        <f t="shared" si="18"/>
        <v/>
      </c>
      <c r="AJ69" s="174" t="str">
        <f t="shared" si="19"/>
        <v/>
      </c>
      <c r="AK69" s="175" t="str">
        <f t="shared" si="20"/>
        <v/>
      </c>
      <c r="AL69" s="176" t="str">
        <f t="shared" si="21"/>
        <v/>
      </c>
      <c r="AM69" s="177"/>
      <c r="AN69" s="718">
        <f>'Sam-Pojazdy-WSAD'!AP77</f>
        <v>0</v>
      </c>
      <c r="AO69" s="720"/>
      <c r="AP69" s="177"/>
      <c r="AQ69" s="177"/>
      <c r="AR69" s="177"/>
      <c r="AS69" s="177"/>
      <c r="AT69" s="177"/>
      <c r="AU69" s="177"/>
      <c r="AV69" s="177"/>
      <c r="AW69" s="177"/>
      <c r="AX69" s="177"/>
      <c r="AY69" s="177"/>
      <c r="AZ69" s="177"/>
      <c r="BA69" s="177"/>
    </row>
    <row r="70" spans="1:53" s="186" customFormat="1">
      <c r="A70" s="145"/>
      <c r="B70" s="179" t="s">
        <v>440</v>
      </c>
      <c r="C70" s="180"/>
      <c r="D70" s="181">
        <f t="shared" ref="D70:AA70" si="26">SUM(D10:D69)</f>
        <v>116757.78956400001</v>
      </c>
      <c r="E70" s="182">
        <f t="shared" si="26"/>
        <v>458163.06425059994</v>
      </c>
      <c r="F70" s="182">
        <f t="shared" si="26"/>
        <v>280.05560767313705</v>
      </c>
      <c r="G70" s="182">
        <f t="shared" si="26"/>
        <v>7602127.3025520006</v>
      </c>
      <c r="H70" s="182">
        <f t="shared" si="26"/>
        <v>26242870.309416644</v>
      </c>
      <c r="I70" s="182">
        <f t="shared" si="26"/>
        <v>20352.602559697032</v>
      </c>
      <c r="J70" s="182">
        <f t="shared" si="26"/>
        <v>3061</v>
      </c>
      <c r="K70" s="182">
        <f t="shared" si="26"/>
        <v>6061</v>
      </c>
      <c r="L70" s="182">
        <f t="shared" si="26"/>
        <v>21.451926135790913</v>
      </c>
      <c r="M70" s="182">
        <f t="shared" si="26"/>
        <v>0</v>
      </c>
      <c r="N70" s="182">
        <f t="shared" si="26"/>
        <v>0</v>
      </c>
      <c r="O70" s="182">
        <f t="shared" si="26"/>
        <v>0</v>
      </c>
      <c r="P70" s="182">
        <f t="shared" si="26"/>
        <v>64912.374400000001</v>
      </c>
      <c r="Q70" s="182">
        <f t="shared" si="26"/>
        <v>98685.185167999996</v>
      </c>
      <c r="R70" s="182">
        <f t="shared" si="26"/>
        <v>109.38955439038719</v>
      </c>
      <c r="S70" s="182">
        <f t="shared" si="26"/>
        <v>0</v>
      </c>
      <c r="T70" s="182">
        <f t="shared" si="26"/>
        <v>0</v>
      </c>
      <c r="U70" s="182">
        <f t="shared" si="26"/>
        <v>0</v>
      </c>
      <c r="V70" s="182">
        <f t="shared" si="26"/>
        <v>0</v>
      </c>
      <c r="W70" s="182">
        <f t="shared" si="26"/>
        <v>0</v>
      </c>
      <c r="X70" s="182">
        <f t="shared" si="26"/>
        <v>0</v>
      </c>
      <c r="Y70" s="182">
        <f t="shared" si="26"/>
        <v>17516426.583999999</v>
      </c>
      <c r="Z70" s="182">
        <f t="shared" si="26"/>
        <v>5361274.0115200002</v>
      </c>
      <c r="AA70" s="182">
        <f t="shared" si="26"/>
        <v>17201.130905488</v>
      </c>
      <c r="AB70" s="145"/>
      <c r="AC70" s="179" t="s">
        <v>440</v>
      </c>
      <c r="AD70" s="180"/>
      <c r="AE70" s="183">
        <f>SUM(AE10:AE69)</f>
        <v>648</v>
      </c>
      <c r="AF70" s="183">
        <f>SUM(AF10:AF69)</f>
        <v>23325524.449999999</v>
      </c>
      <c r="AG70" s="184">
        <f>SUM(AG10:AG69)</f>
        <v>32167053.57035524</v>
      </c>
      <c r="AH70" s="184">
        <f>SUM(AH10:AH69)</f>
        <v>37964.630553384341</v>
      </c>
      <c r="AI70" s="173">
        <f>AG70/AF70</f>
        <v>1.3790495317396922</v>
      </c>
      <c r="AJ70" s="174">
        <f>AG70/AE70</f>
        <v>49640.514769066729</v>
      </c>
      <c r="AK70" s="175">
        <f>AG70/AF70</f>
        <v>1.3790495317396922</v>
      </c>
      <c r="AL70" s="176">
        <f>AH70/AE70</f>
        <v>58.587392829296824</v>
      </c>
      <c r="AM70" s="185"/>
      <c r="AN70" s="719"/>
      <c r="AO70" s="721"/>
      <c r="AP70" s="185"/>
      <c r="AQ70" s="185"/>
      <c r="AR70" s="185"/>
      <c r="AS70" s="185"/>
      <c r="AT70" s="185"/>
      <c r="AU70" s="185"/>
      <c r="AV70" s="185"/>
      <c r="AW70" s="185"/>
      <c r="AX70" s="185"/>
      <c r="AY70" s="185"/>
      <c r="AZ70" s="185"/>
      <c r="BA70" s="185"/>
    </row>
    <row r="71" spans="1:53">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6"/>
      <c r="Y71" s="145"/>
      <c r="Z71" s="145"/>
      <c r="AA71" s="146"/>
      <c r="AB71" s="145"/>
      <c r="AC71" s="145"/>
      <c r="AD71" s="145"/>
      <c r="AE71" s="146"/>
      <c r="AF71" s="146"/>
      <c r="AG71" s="145"/>
      <c r="AH71" s="146"/>
      <c r="AI71" s="146"/>
      <c r="AJ71" s="146"/>
      <c r="AK71" s="146"/>
      <c r="AL71" s="146"/>
      <c r="AM71" s="146"/>
      <c r="AN71" s="147"/>
      <c r="AO71" s="146"/>
      <c r="AP71" s="146"/>
      <c r="AQ71" s="146"/>
      <c r="AR71" s="146"/>
      <c r="AS71" s="146"/>
      <c r="AT71" s="146"/>
      <c r="AU71" s="146"/>
      <c r="AV71" s="146"/>
      <c r="AW71" s="146"/>
      <c r="AX71" s="146"/>
      <c r="AY71" s="146"/>
      <c r="AZ71" s="146"/>
    </row>
    <row r="72" spans="1:53">
      <c r="A72" s="145"/>
      <c r="B72" s="187" t="s">
        <v>392</v>
      </c>
      <c r="C72" s="188">
        <v>1</v>
      </c>
      <c r="D72" s="47" t="s">
        <v>405</v>
      </c>
      <c r="E72" s="145"/>
      <c r="F72" s="145"/>
      <c r="G72" s="145"/>
      <c r="H72" s="145"/>
      <c r="I72" s="145"/>
      <c r="J72" s="145"/>
      <c r="K72" s="145"/>
      <c r="L72" s="145"/>
      <c r="M72" s="145"/>
      <c r="N72" s="145"/>
      <c r="O72" s="145"/>
      <c r="P72" s="145"/>
      <c r="Q72" s="145"/>
      <c r="R72" s="145"/>
      <c r="S72" s="145"/>
      <c r="T72" s="145"/>
      <c r="U72" s="145"/>
      <c r="V72" s="145"/>
      <c r="W72" s="145"/>
      <c r="X72" s="146"/>
      <c r="Y72" s="145"/>
      <c r="Z72" s="145"/>
      <c r="AA72" s="146"/>
      <c r="AB72" s="145"/>
      <c r="AC72" s="145"/>
      <c r="AD72" s="145"/>
      <c r="AE72" s="146"/>
      <c r="AF72" s="146"/>
      <c r="AG72" s="145"/>
      <c r="AH72" s="146"/>
      <c r="AI72" s="146"/>
      <c r="AJ72" s="146"/>
      <c r="AK72" s="146"/>
      <c r="AL72" s="146"/>
      <c r="AM72" s="146"/>
      <c r="AN72" s="147"/>
      <c r="AO72" s="146"/>
      <c r="AP72" s="146"/>
      <c r="AQ72" s="146"/>
      <c r="AR72" s="146"/>
      <c r="AS72" s="146"/>
      <c r="AT72" s="146"/>
      <c r="AU72" s="146"/>
      <c r="AV72" s="146"/>
      <c r="AW72" s="146"/>
      <c r="AX72" s="146"/>
      <c r="AY72" s="146"/>
      <c r="AZ72" s="146"/>
    </row>
    <row r="73" spans="1:53">
      <c r="A73" s="145"/>
      <c r="B73" s="145"/>
      <c r="C73" s="188">
        <v>2</v>
      </c>
      <c r="D73" s="145"/>
      <c r="E73" s="145"/>
      <c r="F73" s="145"/>
      <c r="G73" s="145"/>
      <c r="H73" s="145"/>
      <c r="I73" s="145"/>
      <c r="J73" s="145"/>
      <c r="K73" s="145"/>
      <c r="L73" s="145"/>
      <c r="M73" s="145"/>
      <c r="N73" s="145"/>
      <c r="O73" s="145"/>
      <c r="P73" s="145"/>
      <c r="Q73" s="145"/>
      <c r="R73" s="145"/>
      <c r="S73" s="145"/>
      <c r="T73" s="145"/>
      <c r="U73" s="145"/>
      <c r="V73" s="145"/>
      <c r="W73" s="145"/>
      <c r="X73" s="146"/>
      <c r="Y73" s="145"/>
      <c r="Z73" s="145"/>
      <c r="AA73" s="146"/>
      <c r="AB73" s="145"/>
      <c r="AC73" s="145"/>
      <c r="AD73" s="145"/>
      <c r="AE73" s="146"/>
      <c r="AF73" s="146"/>
      <c r="AG73" s="145"/>
      <c r="AH73" s="146"/>
      <c r="AI73" s="146"/>
      <c r="AJ73" s="146"/>
      <c r="AK73" s="146"/>
      <c r="AL73" s="146"/>
      <c r="AM73" s="146"/>
      <c r="AN73" s="147"/>
      <c r="AO73" s="146"/>
      <c r="AP73" s="146"/>
      <c r="AQ73" s="146"/>
      <c r="AR73" s="146"/>
      <c r="AS73" s="146"/>
      <c r="AT73" s="146"/>
      <c r="AU73" s="146"/>
      <c r="AV73" s="146"/>
      <c r="AW73" s="146"/>
      <c r="AX73" s="146"/>
      <c r="AY73" s="146"/>
      <c r="AZ73" s="146"/>
    </row>
    <row r="74" spans="1:53">
      <c r="A74" s="145"/>
      <c r="B74" s="145"/>
      <c r="C74" s="188">
        <v>3</v>
      </c>
      <c r="D74" s="145"/>
      <c r="E74" s="145"/>
      <c r="F74" s="145"/>
      <c r="G74" s="145"/>
      <c r="H74" s="145"/>
      <c r="I74" s="145"/>
      <c r="J74" s="145"/>
      <c r="K74" s="145"/>
      <c r="L74" s="145"/>
      <c r="M74" s="145"/>
      <c r="N74" s="145"/>
      <c r="O74" s="145"/>
      <c r="P74" s="145"/>
      <c r="Q74" s="145"/>
      <c r="R74" s="145"/>
      <c r="S74" s="145"/>
      <c r="T74" s="145"/>
      <c r="U74" s="145"/>
      <c r="V74" s="145"/>
      <c r="W74" s="145"/>
      <c r="X74" s="146"/>
      <c r="Y74" s="145"/>
      <c r="Z74" s="145"/>
      <c r="AA74" s="146"/>
      <c r="AB74" s="146"/>
      <c r="AC74" s="145"/>
      <c r="AD74" s="145"/>
      <c r="AE74" s="146"/>
      <c r="AF74" s="146"/>
      <c r="AG74" s="145"/>
      <c r="AH74" s="146"/>
      <c r="AI74" s="146"/>
      <c r="AJ74" s="146"/>
      <c r="AK74" s="146"/>
      <c r="AL74" s="146"/>
      <c r="AM74" s="146"/>
      <c r="AN74" s="147"/>
      <c r="AO74" s="146"/>
      <c r="AP74" s="146"/>
      <c r="AQ74" s="146"/>
      <c r="AR74" s="146"/>
      <c r="AS74" s="146"/>
      <c r="AT74" s="146"/>
      <c r="AU74" s="146"/>
      <c r="AV74" s="146"/>
      <c r="AW74" s="146"/>
      <c r="AX74" s="146"/>
      <c r="AY74" s="146"/>
      <c r="AZ74" s="146"/>
    </row>
    <row r="75" spans="1:53">
      <c r="A75" s="145"/>
      <c r="B75" s="145"/>
      <c r="C75" s="145"/>
      <c r="D75" s="145"/>
      <c r="E75" s="145"/>
      <c r="F75" s="145"/>
      <c r="G75" s="145"/>
      <c r="H75" s="145"/>
      <c r="I75" s="145"/>
      <c r="J75" s="145"/>
      <c r="K75" s="145"/>
      <c r="L75" s="145"/>
      <c r="M75" s="145"/>
      <c r="N75" s="145"/>
      <c r="O75" s="145"/>
      <c r="P75" s="145"/>
      <c r="Q75" s="145"/>
      <c r="R75" s="145"/>
      <c r="S75" s="145"/>
      <c r="T75" s="145"/>
      <c r="U75" s="145"/>
      <c r="V75" s="145"/>
      <c r="W75" s="145"/>
      <c r="X75" s="146"/>
      <c r="Y75" s="145"/>
      <c r="Z75" s="145"/>
      <c r="AA75" s="146"/>
      <c r="AB75" s="146"/>
      <c r="AC75" s="145"/>
      <c r="AD75" s="145"/>
      <c r="AE75" s="146"/>
      <c r="AF75" s="146"/>
      <c r="AG75" s="145"/>
      <c r="AH75" s="146"/>
      <c r="AI75" s="146"/>
      <c r="AJ75" s="146"/>
      <c r="AK75" s="146"/>
      <c r="AL75" s="146"/>
      <c r="AM75" s="146"/>
      <c r="AN75" s="147"/>
      <c r="AO75" s="146"/>
      <c r="AP75" s="146"/>
      <c r="AQ75" s="146"/>
      <c r="AR75" s="146"/>
      <c r="AS75" s="146"/>
      <c r="AT75" s="146"/>
      <c r="AU75" s="146"/>
      <c r="AV75" s="146"/>
      <c r="AW75" s="146"/>
      <c r="AX75" s="146"/>
      <c r="AY75" s="146"/>
      <c r="AZ75" s="146"/>
    </row>
    <row r="76" spans="1:53">
      <c r="A76" s="145"/>
      <c r="B76" s="145"/>
      <c r="C76" s="145"/>
      <c r="D76" s="145"/>
      <c r="E76" s="145"/>
      <c r="F76" s="145"/>
      <c r="G76" s="145"/>
      <c r="H76" s="145"/>
      <c r="I76" s="145"/>
      <c r="J76" s="145"/>
      <c r="K76" s="145"/>
      <c r="L76" s="145"/>
      <c r="M76" s="145"/>
      <c r="N76" s="145"/>
      <c r="O76" s="145"/>
      <c r="P76" s="145"/>
      <c r="Q76" s="145"/>
      <c r="R76" s="145"/>
      <c r="S76" s="145"/>
      <c r="T76" s="145"/>
      <c r="U76" s="145"/>
      <c r="V76" s="145"/>
      <c r="W76" s="145"/>
      <c r="X76" s="146"/>
      <c r="Y76" s="145"/>
      <c r="Z76" s="145"/>
      <c r="AA76" s="146"/>
      <c r="AB76" s="146"/>
      <c r="AC76" s="145"/>
      <c r="AD76" s="145"/>
      <c r="AE76" s="146"/>
      <c r="AF76" s="146"/>
      <c r="AG76" s="145"/>
      <c r="AH76" s="146"/>
      <c r="AI76" s="146"/>
      <c r="AJ76" s="146"/>
      <c r="AK76" s="146"/>
      <c r="AL76" s="146"/>
      <c r="AM76" s="146"/>
      <c r="AN76" s="147"/>
      <c r="AO76" s="146"/>
      <c r="AP76" s="146"/>
      <c r="AQ76" s="146"/>
      <c r="AR76" s="146"/>
      <c r="AS76" s="146"/>
      <c r="AT76" s="146"/>
      <c r="AU76" s="146"/>
      <c r="AV76" s="146"/>
      <c r="AW76" s="146"/>
      <c r="AX76" s="146"/>
      <c r="AY76" s="146"/>
      <c r="AZ76" s="146"/>
    </row>
    <row r="77" spans="1:53">
      <c r="A77" s="145"/>
      <c r="B77" s="145"/>
      <c r="C77" s="145"/>
      <c r="D77" s="145"/>
      <c r="E77" s="145"/>
      <c r="F77" s="145"/>
      <c r="G77" s="145"/>
      <c r="H77" s="145"/>
      <c r="I77" s="145"/>
      <c r="J77" s="145"/>
      <c r="K77" s="145"/>
      <c r="L77" s="145"/>
      <c r="M77" s="145"/>
      <c r="N77" s="145"/>
      <c r="O77" s="145"/>
      <c r="P77" s="145"/>
      <c r="Q77" s="145"/>
      <c r="R77" s="145"/>
      <c r="S77" s="145"/>
      <c r="T77" s="145"/>
      <c r="U77" s="145"/>
      <c r="V77" s="145"/>
      <c r="W77" s="145"/>
      <c r="X77" s="146"/>
      <c r="Y77" s="145"/>
      <c r="Z77" s="145"/>
      <c r="AA77" s="146"/>
      <c r="AB77" s="146"/>
      <c r="AC77" s="145"/>
      <c r="AD77" s="145"/>
      <c r="AE77" s="146"/>
      <c r="AF77" s="146"/>
      <c r="AG77" s="145"/>
      <c r="AH77" s="146"/>
      <c r="AI77" s="146"/>
      <c r="AJ77" s="146"/>
      <c r="AK77" s="146"/>
      <c r="AL77" s="146"/>
      <c r="AM77" s="146"/>
      <c r="AN77" s="147"/>
      <c r="AO77" s="146"/>
      <c r="AP77" s="146"/>
      <c r="AQ77" s="146"/>
      <c r="AR77" s="146"/>
      <c r="AS77" s="146"/>
      <c r="AT77" s="146"/>
      <c r="AU77" s="146"/>
      <c r="AV77" s="146"/>
      <c r="AW77" s="146"/>
      <c r="AX77" s="146"/>
      <c r="AY77" s="146"/>
      <c r="AZ77" s="146"/>
    </row>
    <row r="78" spans="1:53">
      <c r="A78" s="145"/>
      <c r="B78" s="145"/>
      <c r="C78" s="145"/>
      <c r="D78" s="145"/>
      <c r="E78" s="145"/>
      <c r="F78" s="145"/>
      <c r="G78" s="145"/>
      <c r="H78" s="145"/>
      <c r="I78" s="145"/>
      <c r="J78" s="145"/>
      <c r="K78" s="145"/>
      <c r="L78" s="145"/>
      <c r="M78" s="145"/>
      <c r="N78" s="145"/>
      <c r="O78" s="145"/>
      <c r="P78" s="145"/>
      <c r="Q78" s="145"/>
      <c r="R78" s="145"/>
      <c r="S78" s="145"/>
      <c r="T78" s="145"/>
      <c r="U78" s="145"/>
      <c r="V78" s="145"/>
      <c r="W78" s="145"/>
      <c r="X78" s="146"/>
      <c r="Y78" s="145"/>
      <c r="Z78" s="145"/>
      <c r="AA78" s="146"/>
      <c r="AB78" s="146"/>
      <c r="AC78" s="145"/>
      <c r="AD78" s="145"/>
      <c r="AE78" s="146"/>
      <c r="AF78" s="146"/>
      <c r="AG78" s="145"/>
      <c r="AH78" s="146"/>
      <c r="AI78" s="146"/>
      <c r="AJ78" s="146"/>
      <c r="AK78" s="146"/>
      <c r="AL78" s="146"/>
      <c r="AM78" s="146"/>
      <c r="AN78" s="147"/>
      <c r="AO78" s="146"/>
      <c r="AP78" s="146"/>
      <c r="AQ78" s="146"/>
      <c r="AR78" s="146"/>
      <c r="AS78" s="146"/>
      <c r="AT78" s="146"/>
      <c r="AU78" s="146"/>
      <c r="AV78" s="146"/>
      <c r="AW78" s="146"/>
      <c r="AX78" s="146"/>
      <c r="AY78" s="146"/>
      <c r="AZ78" s="146"/>
    </row>
    <row r="79" spans="1:53">
      <c r="A79" s="145"/>
      <c r="B79" s="145"/>
      <c r="C79" s="145"/>
      <c r="D79" s="145"/>
      <c r="E79" s="145"/>
      <c r="F79" s="145"/>
      <c r="G79" s="145"/>
      <c r="H79" s="145"/>
      <c r="I79" s="145"/>
      <c r="J79" s="145"/>
      <c r="K79" s="145"/>
      <c r="L79" s="145"/>
      <c r="M79" s="145"/>
      <c r="N79" s="145"/>
      <c r="O79" s="145"/>
      <c r="P79" s="145"/>
      <c r="Q79" s="145"/>
      <c r="R79" s="145"/>
      <c r="S79" s="145"/>
      <c r="T79" s="145"/>
      <c r="U79" s="145"/>
      <c r="V79" s="145"/>
      <c r="W79" s="145"/>
      <c r="X79" s="146"/>
      <c r="Y79" s="145"/>
      <c r="Z79" s="145"/>
      <c r="AA79" s="146"/>
      <c r="AB79" s="146"/>
      <c r="AC79" s="145"/>
      <c r="AD79" s="145"/>
      <c r="AE79" s="146"/>
      <c r="AF79" s="146"/>
      <c r="AG79" s="145"/>
      <c r="AH79" s="146"/>
      <c r="AI79" s="146"/>
      <c r="AJ79" s="146"/>
      <c r="AK79" s="146"/>
      <c r="AL79" s="146"/>
      <c r="AM79" s="146"/>
      <c r="AN79" s="147"/>
      <c r="AO79" s="146"/>
      <c r="AP79" s="146"/>
      <c r="AQ79" s="146"/>
      <c r="AR79" s="146"/>
      <c r="AS79" s="146"/>
      <c r="AT79" s="146"/>
      <c r="AU79" s="146"/>
      <c r="AV79" s="146"/>
      <c r="AW79" s="146"/>
      <c r="AX79" s="146"/>
      <c r="AY79" s="146"/>
      <c r="AZ79" s="146"/>
    </row>
    <row r="80" spans="1:53">
      <c r="A80" s="145"/>
      <c r="B80" s="145"/>
      <c r="C80" s="145"/>
      <c r="D80" s="145"/>
      <c r="E80" s="145"/>
      <c r="F80" s="145"/>
      <c r="G80" s="145"/>
      <c r="H80" s="145"/>
      <c r="I80" s="145"/>
      <c r="J80" s="145"/>
      <c r="K80" s="145"/>
      <c r="L80" s="145"/>
      <c r="M80" s="145"/>
      <c r="N80" s="145"/>
      <c r="O80" s="145"/>
      <c r="P80" s="145"/>
      <c r="Q80" s="145"/>
      <c r="R80" s="145"/>
      <c r="S80" s="145"/>
      <c r="T80" s="145"/>
      <c r="U80" s="145"/>
      <c r="V80" s="145"/>
      <c r="W80" s="145"/>
      <c r="X80" s="146"/>
      <c r="Y80" s="145"/>
      <c r="Z80" s="145"/>
      <c r="AA80" s="146"/>
      <c r="AB80" s="146"/>
      <c r="AC80" s="145"/>
      <c r="AD80" s="145"/>
      <c r="AE80" s="146"/>
      <c r="AF80" s="146"/>
      <c r="AG80" s="145"/>
      <c r="AH80" s="146"/>
      <c r="AI80" s="146"/>
      <c r="AJ80" s="146"/>
      <c r="AK80" s="146"/>
      <c r="AL80" s="146"/>
      <c r="AM80" s="146"/>
      <c r="AN80" s="147"/>
      <c r="AO80" s="146"/>
      <c r="AP80" s="146"/>
      <c r="AQ80" s="146"/>
      <c r="AR80" s="146"/>
      <c r="AS80" s="146"/>
      <c r="AT80" s="146"/>
      <c r="AU80" s="146"/>
      <c r="AV80" s="146"/>
      <c r="AW80" s="146"/>
      <c r="AX80" s="146"/>
      <c r="AY80" s="146"/>
      <c r="AZ80" s="146"/>
    </row>
    <row r="81" spans="1:52">
      <c r="A81" s="145"/>
      <c r="B81" s="145"/>
      <c r="C81" s="145"/>
      <c r="D81" s="145"/>
      <c r="E81" s="145"/>
      <c r="F81" s="145"/>
      <c r="G81" s="145"/>
      <c r="H81" s="145"/>
      <c r="I81" s="145"/>
      <c r="J81" s="145"/>
      <c r="K81" s="145"/>
      <c r="L81" s="145"/>
      <c r="M81" s="145"/>
      <c r="N81" s="145"/>
      <c r="O81" s="145"/>
      <c r="P81" s="145"/>
      <c r="Q81" s="145"/>
      <c r="R81" s="145"/>
      <c r="S81" s="145"/>
      <c r="T81" s="145"/>
      <c r="U81" s="145"/>
      <c r="V81" s="145"/>
      <c r="W81" s="145"/>
      <c r="X81" s="146"/>
      <c r="Y81" s="145"/>
      <c r="Z81" s="145"/>
      <c r="AA81" s="146"/>
      <c r="AB81" s="146"/>
      <c r="AC81" s="145"/>
      <c r="AD81" s="145"/>
      <c r="AE81" s="146"/>
      <c r="AF81" s="146"/>
      <c r="AG81" s="145"/>
      <c r="AH81" s="146"/>
      <c r="AI81" s="146"/>
      <c r="AJ81" s="146"/>
      <c r="AK81" s="146"/>
      <c r="AL81" s="146"/>
      <c r="AM81" s="146"/>
      <c r="AN81" s="147"/>
      <c r="AO81" s="146"/>
      <c r="AP81" s="146"/>
      <c r="AQ81" s="146"/>
      <c r="AR81" s="146"/>
      <c r="AS81" s="146"/>
      <c r="AT81" s="146"/>
      <c r="AU81" s="146"/>
      <c r="AV81" s="146"/>
      <c r="AW81" s="146"/>
      <c r="AX81" s="146"/>
      <c r="AY81" s="146"/>
      <c r="AZ81" s="146"/>
    </row>
    <row r="82" spans="1:52">
      <c r="A82" s="145"/>
      <c r="B82" s="145"/>
      <c r="C82" s="145"/>
      <c r="D82" s="145"/>
      <c r="E82" s="145"/>
      <c r="F82" s="145"/>
      <c r="G82" s="145"/>
      <c r="H82" s="145"/>
      <c r="I82" s="145"/>
      <c r="J82" s="145"/>
      <c r="K82" s="145"/>
      <c r="L82" s="145"/>
      <c r="M82" s="145"/>
      <c r="N82" s="145"/>
      <c r="O82" s="145"/>
      <c r="P82" s="145"/>
      <c r="Q82" s="145"/>
      <c r="R82" s="145"/>
      <c r="S82" s="145"/>
      <c r="T82" s="145"/>
      <c r="U82" s="145"/>
      <c r="V82" s="145"/>
      <c r="W82" s="145"/>
      <c r="X82" s="146"/>
      <c r="Y82" s="145"/>
      <c r="Z82" s="145"/>
      <c r="AA82" s="146"/>
      <c r="AB82" s="146"/>
      <c r="AC82" s="145"/>
      <c r="AD82" s="145"/>
      <c r="AE82" s="146"/>
      <c r="AF82" s="146"/>
      <c r="AG82" s="145"/>
      <c r="AH82" s="146"/>
      <c r="AI82" s="146"/>
      <c r="AJ82" s="146"/>
      <c r="AK82" s="146"/>
      <c r="AL82" s="146"/>
      <c r="AM82" s="146"/>
      <c r="AN82" s="147"/>
      <c r="AO82" s="146"/>
      <c r="AP82" s="146"/>
      <c r="AQ82" s="146"/>
      <c r="AR82" s="146"/>
      <c r="AS82" s="146"/>
      <c r="AT82" s="146"/>
      <c r="AU82" s="146"/>
      <c r="AV82" s="146"/>
      <c r="AW82" s="146"/>
      <c r="AX82" s="146"/>
      <c r="AY82" s="146"/>
      <c r="AZ82" s="146"/>
    </row>
    <row r="83" spans="1:52">
      <c r="A83" s="145"/>
      <c r="B83" s="146"/>
      <c r="C83" s="145"/>
      <c r="D83" s="145"/>
      <c r="E83" s="145"/>
      <c r="F83" s="145"/>
      <c r="G83" s="145"/>
      <c r="H83" s="145"/>
      <c r="I83" s="145"/>
      <c r="J83" s="145"/>
      <c r="K83" s="145"/>
      <c r="L83" s="145"/>
      <c r="M83" s="145"/>
      <c r="N83" s="145"/>
      <c r="O83" s="145"/>
      <c r="P83" s="145"/>
      <c r="Q83" s="145"/>
      <c r="R83" s="145"/>
      <c r="S83" s="145"/>
      <c r="T83" s="145"/>
      <c r="U83" s="145"/>
      <c r="V83" s="145"/>
      <c r="W83" s="145"/>
      <c r="X83" s="146"/>
      <c r="Y83" s="145"/>
      <c r="Z83" s="145"/>
      <c r="AA83" s="146"/>
      <c r="AB83" s="146"/>
      <c r="AC83" s="145"/>
      <c r="AD83" s="145"/>
      <c r="AE83" s="146"/>
      <c r="AF83" s="146"/>
      <c r="AG83" s="145"/>
      <c r="AH83" s="146"/>
      <c r="AI83" s="146"/>
      <c r="AJ83" s="146"/>
      <c r="AK83" s="146"/>
      <c r="AL83" s="146"/>
      <c r="AM83" s="146"/>
      <c r="AN83" s="147"/>
      <c r="AO83" s="146"/>
      <c r="AP83" s="146"/>
      <c r="AQ83" s="146"/>
      <c r="AR83" s="146"/>
      <c r="AS83" s="146"/>
      <c r="AT83" s="146"/>
      <c r="AU83" s="146"/>
      <c r="AV83" s="146"/>
      <c r="AW83" s="146"/>
      <c r="AX83" s="146"/>
      <c r="AY83" s="146"/>
      <c r="AZ83" s="146"/>
    </row>
    <row r="84" spans="1:52">
      <c r="A84" s="145"/>
      <c r="B84" s="146"/>
      <c r="C84" s="145"/>
      <c r="D84" s="145"/>
      <c r="E84" s="145"/>
      <c r="F84" s="145"/>
      <c r="G84" s="145"/>
      <c r="H84" s="145"/>
      <c r="I84" s="145"/>
      <c r="J84" s="145"/>
      <c r="K84" s="145"/>
      <c r="L84" s="145"/>
      <c r="M84" s="145"/>
      <c r="N84" s="145"/>
      <c r="O84" s="145"/>
      <c r="P84" s="145"/>
      <c r="Q84" s="145"/>
      <c r="R84" s="145"/>
      <c r="S84" s="145"/>
      <c r="T84" s="145"/>
      <c r="U84" s="145"/>
      <c r="V84" s="145"/>
      <c r="W84" s="145"/>
      <c r="X84" s="146"/>
      <c r="Y84" s="145"/>
      <c r="Z84" s="145"/>
      <c r="AA84" s="146"/>
      <c r="AB84" s="146"/>
      <c r="AC84" s="145"/>
      <c r="AD84" s="145"/>
      <c r="AE84" s="146"/>
      <c r="AF84" s="146"/>
      <c r="AG84" s="145"/>
      <c r="AH84" s="146"/>
      <c r="AI84" s="146"/>
      <c r="AJ84" s="146"/>
      <c r="AK84" s="146"/>
      <c r="AL84" s="146"/>
      <c r="AM84" s="146"/>
      <c r="AN84" s="147"/>
      <c r="AO84" s="146"/>
      <c r="AP84" s="146"/>
      <c r="AQ84" s="146"/>
      <c r="AR84" s="146"/>
      <c r="AS84" s="146"/>
      <c r="AT84" s="146"/>
      <c r="AU84" s="146"/>
      <c r="AV84" s="146"/>
      <c r="AW84" s="146"/>
      <c r="AX84" s="146"/>
      <c r="AY84" s="146"/>
      <c r="AZ84" s="146"/>
    </row>
    <row r="85" spans="1:52">
      <c r="A85" s="145"/>
      <c r="B85" s="146"/>
      <c r="C85" s="145"/>
      <c r="D85" s="145"/>
      <c r="E85" s="145"/>
      <c r="F85" s="145"/>
      <c r="G85" s="145"/>
      <c r="H85" s="145"/>
      <c r="I85" s="145"/>
      <c r="J85" s="145"/>
      <c r="K85" s="145"/>
      <c r="L85" s="145"/>
      <c r="M85" s="145"/>
      <c r="N85" s="145"/>
      <c r="O85" s="145"/>
      <c r="P85" s="145"/>
      <c r="Q85" s="145"/>
      <c r="R85" s="145"/>
      <c r="S85" s="145"/>
      <c r="T85" s="145"/>
      <c r="U85" s="145"/>
      <c r="V85" s="145"/>
      <c r="W85" s="145"/>
      <c r="X85" s="146"/>
      <c r="Y85" s="145"/>
      <c r="Z85" s="145"/>
      <c r="AA85" s="146"/>
      <c r="AB85" s="146"/>
      <c r="AC85" s="145"/>
      <c r="AD85" s="145"/>
      <c r="AE85" s="146"/>
      <c r="AF85" s="146"/>
      <c r="AG85" s="145"/>
      <c r="AH85" s="146"/>
      <c r="AI85" s="146"/>
      <c r="AJ85" s="146"/>
      <c r="AK85" s="146"/>
      <c r="AL85" s="146"/>
      <c r="AM85" s="146"/>
      <c r="AN85" s="147"/>
      <c r="AO85" s="146"/>
      <c r="AP85" s="146"/>
      <c r="AQ85" s="146"/>
      <c r="AR85" s="146"/>
      <c r="AS85" s="146"/>
      <c r="AT85" s="146"/>
      <c r="AU85" s="146"/>
      <c r="AV85" s="146"/>
      <c r="AW85" s="146"/>
      <c r="AX85" s="146"/>
      <c r="AY85" s="146"/>
      <c r="AZ85" s="146"/>
    </row>
    <row r="86" spans="1:52">
      <c r="A86" s="145"/>
      <c r="B86" s="146"/>
      <c r="C86" s="145"/>
      <c r="D86" s="145"/>
      <c r="E86" s="145"/>
      <c r="F86" s="145"/>
      <c r="G86" s="145"/>
      <c r="H86" s="145"/>
      <c r="I86" s="145"/>
      <c r="J86" s="145"/>
      <c r="K86" s="145"/>
      <c r="L86" s="145"/>
      <c r="M86" s="145"/>
      <c r="N86" s="145"/>
      <c r="O86" s="145"/>
      <c r="P86" s="145"/>
      <c r="Q86" s="145"/>
      <c r="R86" s="145"/>
      <c r="S86" s="145"/>
      <c r="T86" s="145"/>
      <c r="U86" s="145"/>
      <c r="V86" s="145"/>
      <c r="W86" s="145"/>
      <c r="X86" s="146"/>
      <c r="Y86" s="145"/>
      <c r="Z86" s="145"/>
      <c r="AA86" s="146"/>
      <c r="AB86" s="146"/>
      <c r="AC86" s="145"/>
      <c r="AD86" s="145"/>
      <c r="AE86" s="146"/>
      <c r="AF86" s="146"/>
      <c r="AG86" s="145"/>
      <c r="AH86" s="146"/>
      <c r="AI86" s="146"/>
      <c r="AJ86" s="146"/>
      <c r="AK86" s="146"/>
      <c r="AL86" s="146"/>
      <c r="AM86" s="146"/>
      <c r="AN86" s="147"/>
      <c r="AO86" s="146"/>
      <c r="AP86" s="146"/>
      <c r="AQ86" s="146"/>
      <c r="AR86" s="146"/>
      <c r="AS86" s="146"/>
      <c r="AT86" s="146"/>
      <c r="AU86" s="146"/>
      <c r="AV86" s="146"/>
      <c r="AW86" s="146"/>
      <c r="AX86" s="146"/>
      <c r="AY86" s="146"/>
      <c r="AZ86" s="146"/>
    </row>
    <row r="87" spans="1:52">
      <c r="A87" s="145"/>
      <c r="B87" s="146"/>
      <c r="C87" s="145"/>
      <c r="D87" s="145"/>
      <c r="E87" s="145"/>
      <c r="F87" s="145"/>
      <c r="G87" s="145"/>
      <c r="H87" s="145"/>
      <c r="I87" s="145"/>
      <c r="J87" s="145"/>
      <c r="K87" s="145"/>
      <c r="L87" s="145"/>
      <c r="M87" s="145"/>
      <c r="N87" s="145"/>
      <c r="O87" s="145"/>
      <c r="P87" s="145"/>
      <c r="Q87" s="145"/>
      <c r="R87" s="145"/>
      <c r="S87" s="145"/>
      <c r="T87" s="145"/>
      <c r="U87" s="145"/>
      <c r="V87" s="145"/>
      <c r="W87" s="145"/>
      <c r="X87" s="146"/>
      <c r="Y87" s="145"/>
      <c r="Z87" s="145"/>
      <c r="AA87" s="146"/>
      <c r="AB87" s="146"/>
      <c r="AC87" s="145"/>
      <c r="AD87" s="145"/>
      <c r="AE87" s="146"/>
      <c r="AF87" s="146"/>
      <c r="AG87" s="145"/>
      <c r="AH87" s="146"/>
      <c r="AI87" s="146"/>
      <c r="AJ87" s="146"/>
      <c r="AK87" s="146"/>
      <c r="AL87" s="146"/>
      <c r="AM87" s="146"/>
      <c r="AN87" s="147"/>
      <c r="AO87" s="146"/>
      <c r="AP87" s="146"/>
      <c r="AQ87" s="146"/>
      <c r="AR87" s="146"/>
      <c r="AS87" s="146"/>
      <c r="AT87" s="146"/>
      <c r="AU87" s="146"/>
      <c r="AV87" s="146"/>
      <c r="AW87" s="146"/>
      <c r="AX87" s="146"/>
      <c r="AY87" s="146"/>
      <c r="AZ87" s="146"/>
    </row>
    <row r="88" spans="1:52">
      <c r="B88" s="146"/>
      <c r="C88" s="145"/>
      <c r="D88" s="145"/>
      <c r="E88" s="145"/>
      <c r="F88" s="145"/>
      <c r="G88" s="145"/>
      <c r="H88" s="145"/>
      <c r="I88" s="145"/>
      <c r="J88" s="145"/>
      <c r="K88" s="145"/>
      <c r="L88" s="145"/>
      <c r="M88" s="145"/>
      <c r="N88" s="145"/>
      <c r="O88" s="145"/>
      <c r="P88" s="145"/>
      <c r="Q88" s="145"/>
      <c r="R88" s="145"/>
      <c r="S88" s="145"/>
      <c r="T88" s="145"/>
      <c r="U88" s="145"/>
      <c r="V88" s="145"/>
      <c r="W88" s="145"/>
      <c r="X88" s="146"/>
      <c r="Y88" s="145"/>
      <c r="Z88" s="145"/>
      <c r="AA88" s="146"/>
      <c r="AB88" s="146"/>
      <c r="AC88" s="145"/>
      <c r="AD88" s="145"/>
      <c r="AE88" s="146"/>
      <c r="AF88" s="146"/>
      <c r="AG88" s="145"/>
      <c r="AH88" s="146"/>
      <c r="AI88" s="146"/>
      <c r="AJ88" s="146"/>
      <c r="AK88" s="146"/>
      <c r="AL88" s="146"/>
      <c r="AM88" s="146"/>
      <c r="AN88" s="147"/>
      <c r="AO88" s="146"/>
      <c r="AP88" s="146"/>
      <c r="AQ88" s="146"/>
      <c r="AR88" s="146"/>
      <c r="AS88" s="146"/>
      <c r="AT88" s="146"/>
      <c r="AU88" s="146"/>
      <c r="AV88" s="146"/>
      <c r="AW88" s="146"/>
      <c r="AX88" s="146"/>
      <c r="AY88" s="146"/>
      <c r="AZ88" s="146"/>
    </row>
    <row r="89" spans="1:52">
      <c r="B89" s="146"/>
      <c r="C89" s="145"/>
      <c r="D89" s="145"/>
      <c r="E89" s="145"/>
      <c r="F89" s="145"/>
      <c r="G89" s="145"/>
      <c r="H89" s="145"/>
      <c r="I89" s="145"/>
      <c r="J89" s="145"/>
      <c r="K89" s="145"/>
      <c r="L89" s="145"/>
      <c r="M89" s="145"/>
      <c r="N89" s="145"/>
      <c r="O89" s="145"/>
      <c r="P89" s="145"/>
      <c r="Q89" s="145"/>
      <c r="R89" s="145"/>
      <c r="S89" s="145"/>
      <c r="T89" s="145"/>
      <c r="U89" s="145"/>
      <c r="V89" s="145"/>
      <c r="W89" s="145"/>
      <c r="X89" s="146"/>
      <c r="Y89" s="145"/>
      <c r="Z89" s="145"/>
      <c r="AA89" s="146"/>
      <c r="AB89" s="146"/>
      <c r="AC89" s="145"/>
      <c r="AD89" s="145"/>
      <c r="AE89" s="146"/>
      <c r="AF89" s="146"/>
      <c r="AG89" s="145"/>
      <c r="AH89" s="146"/>
      <c r="AI89" s="146"/>
      <c r="AJ89" s="146"/>
      <c r="AK89" s="146"/>
      <c r="AL89" s="146"/>
      <c r="AM89" s="146"/>
      <c r="AN89" s="147"/>
      <c r="AO89" s="146"/>
      <c r="AP89" s="146"/>
      <c r="AQ89" s="146"/>
      <c r="AR89" s="146"/>
      <c r="AS89" s="146"/>
      <c r="AT89" s="146"/>
      <c r="AU89" s="146"/>
      <c r="AV89" s="146"/>
      <c r="AW89" s="146"/>
      <c r="AX89" s="146"/>
      <c r="AY89" s="146"/>
      <c r="AZ89" s="146"/>
    </row>
    <row r="90" spans="1:52">
      <c r="B90" s="146"/>
      <c r="C90" s="145"/>
      <c r="D90" s="145"/>
      <c r="E90" s="145"/>
      <c r="F90" s="145"/>
      <c r="G90" s="145"/>
      <c r="H90" s="145"/>
      <c r="I90" s="145"/>
      <c r="J90" s="145"/>
      <c r="K90" s="145"/>
      <c r="L90" s="145"/>
      <c r="M90" s="145"/>
      <c r="N90" s="145"/>
      <c r="O90" s="145"/>
      <c r="P90" s="145"/>
      <c r="Q90" s="145"/>
      <c r="R90" s="145"/>
      <c r="S90" s="145"/>
      <c r="T90" s="145"/>
      <c r="U90" s="145"/>
      <c r="V90" s="145"/>
      <c r="W90" s="145"/>
      <c r="X90" s="146"/>
      <c r="Y90" s="145"/>
      <c r="Z90" s="145"/>
      <c r="AA90" s="146"/>
      <c r="AB90" s="146"/>
      <c r="AC90" s="145"/>
      <c r="AD90" s="145"/>
      <c r="AE90" s="146"/>
      <c r="AF90" s="146"/>
      <c r="AG90" s="145"/>
      <c r="AH90" s="146"/>
      <c r="AI90" s="146"/>
      <c r="AJ90" s="146"/>
      <c r="AK90" s="146"/>
      <c r="AL90" s="146"/>
      <c r="AM90" s="146"/>
      <c r="AN90" s="147"/>
      <c r="AO90" s="146"/>
      <c r="AP90" s="146"/>
      <c r="AQ90" s="146"/>
      <c r="AR90" s="146"/>
      <c r="AS90" s="146"/>
      <c r="AT90" s="146"/>
      <c r="AU90" s="146"/>
      <c r="AV90" s="146"/>
      <c r="AW90" s="146"/>
      <c r="AX90" s="146"/>
      <c r="AY90" s="146"/>
      <c r="AZ90" s="146"/>
    </row>
    <row r="91" spans="1:52">
      <c r="B91" s="146"/>
      <c r="C91" s="145"/>
      <c r="D91" s="145"/>
      <c r="E91" s="145"/>
      <c r="F91" s="145"/>
      <c r="G91" s="145"/>
      <c r="H91" s="145"/>
      <c r="I91" s="145"/>
      <c r="J91" s="145"/>
      <c r="K91" s="145"/>
      <c r="L91" s="145"/>
      <c r="M91" s="145"/>
      <c r="N91" s="145"/>
      <c r="O91" s="145"/>
      <c r="P91" s="145"/>
      <c r="Q91" s="145"/>
      <c r="R91" s="145"/>
      <c r="S91" s="145"/>
      <c r="T91" s="145"/>
      <c r="U91" s="145"/>
      <c r="V91" s="145"/>
      <c r="W91" s="145"/>
      <c r="X91" s="146"/>
      <c r="Y91" s="145"/>
      <c r="Z91" s="145"/>
      <c r="AA91" s="146"/>
      <c r="AB91" s="146"/>
      <c r="AC91" s="145"/>
      <c r="AD91" s="145"/>
      <c r="AE91" s="146"/>
      <c r="AF91" s="146"/>
      <c r="AG91" s="145"/>
      <c r="AH91" s="146"/>
      <c r="AI91" s="146"/>
      <c r="AJ91" s="146"/>
      <c r="AK91" s="146"/>
      <c r="AL91" s="146"/>
      <c r="AM91" s="146"/>
      <c r="AN91" s="147"/>
      <c r="AO91" s="146"/>
      <c r="AP91" s="146"/>
      <c r="AQ91" s="146"/>
      <c r="AR91" s="146"/>
      <c r="AS91" s="146"/>
      <c r="AT91" s="146"/>
      <c r="AU91" s="146"/>
      <c r="AV91" s="146"/>
      <c r="AW91" s="146"/>
      <c r="AX91" s="146"/>
      <c r="AY91" s="146"/>
      <c r="AZ91" s="146"/>
    </row>
    <row r="92" spans="1:52">
      <c r="B92" s="146"/>
      <c r="C92" s="145"/>
      <c r="D92" s="145"/>
      <c r="E92" s="145"/>
      <c r="F92" s="145"/>
      <c r="G92" s="145"/>
      <c r="H92" s="145"/>
      <c r="I92" s="145"/>
      <c r="J92" s="145"/>
      <c r="K92" s="145"/>
      <c r="L92" s="145"/>
      <c r="M92" s="145"/>
      <c r="N92" s="145"/>
      <c r="O92" s="145"/>
      <c r="P92" s="145"/>
      <c r="Q92" s="145"/>
      <c r="R92" s="145"/>
      <c r="S92" s="145"/>
      <c r="T92" s="145"/>
      <c r="U92" s="145"/>
      <c r="V92" s="145"/>
      <c r="W92" s="145"/>
      <c r="X92" s="146"/>
      <c r="Y92" s="145"/>
      <c r="Z92" s="145"/>
      <c r="AA92" s="146"/>
      <c r="AB92" s="146"/>
      <c r="AC92" s="145"/>
      <c r="AD92" s="145"/>
      <c r="AE92" s="146"/>
      <c r="AF92" s="146"/>
      <c r="AG92" s="145"/>
      <c r="AH92" s="146"/>
      <c r="AI92" s="146"/>
      <c r="AJ92" s="146"/>
      <c r="AK92" s="146"/>
      <c r="AL92" s="146"/>
      <c r="AM92" s="146"/>
      <c r="AN92" s="147"/>
      <c r="AO92" s="146"/>
      <c r="AP92" s="146"/>
      <c r="AQ92" s="146"/>
      <c r="AR92" s="146"/>
      <c r="AS92" s="146"/>
      <c r="AT92" s="146"/>
      <c r="AU92" s="146"/>
      <c r="AV92" s="146"/>
      <c r="AW92" s="146"/>
      <c r="AX92" s="146"/>
      <c r="AY92" s="146"/>
      <c r="AZ92" s="146"/>
    </row>
    <row r="93" spans="1:52">
      <c r="B93" s="146"/>
      <c r="C93" s="145"/>
      <c r="D93" s="145"/>
      <c r="E93" s="145"/>
      <c r="F93" s="145"/>
      <c r="G93" s="145"/>
      <c r="H93" s="145"/>
      <c r="I93" s="145"/>
      <c r="J93" s="145"/>
      <c r="K93" s="145"/>
      <c r="L93" s="145"/>
      <c r="M93" s="145"/>
      <c r="N93" s="145"/>
      <c r="O93" s="145"/>
      <c r="P93" s="145"/>
      <c r="Q93" s="145"/>
      <c r="R93" s="145"/>
      <c r="S93" s="145"/>
      <c r="T93" s="145"/>
      <c r="U93" s="145"/>
      <c r="V93" s="145"/>
      <c r="W93" s="145"/>
      <c r="X93" s="146"/>
      <c r="Y93" s="145"/>
      <c r="Z93" s="145"/>
      <c r="AA93" s="146"/>
      <c r="AB93" s="146"/>
      <c r="AC93" s="145"/>
      <c r="AD93" s="145"/>
      <c r="AE93" s="146"/>
      <c r="AF93" s="146"/>
      <c r="AG93" s="145"/>
      <c r="AH93" s="146"/>
      <c r="AI93" s="146"/>
      <c r="AJ93" s="146"/>
      <c r="AK93" s="146"/>
      <c r="AL93" s="146"/>
      <c r="AM93" s="146"/>
      <c r="AN93" s="147"/>
      <c r="AO93" s="146"/>
      <c r="AP93" s="146"/>
      <c r="AQ93" s="146"/>
      <c r="AR93" s="146"/>
      <c r="AS93" s="146"/>
      <c r="AT93" s="146"/>
      <c r="AU93" s="146"/>
      <c r="AV93" s="146"/>
      <c r="AW93" s="146"/>
      <c r="AX93" s="146"/>
      <c r="AY93" s="146"/>
      <c r="AZ93" s="146"/>
    </row>
    <row r="94" spans="1:52">
      <c r="B94" s="146"/>
      <c r="C94" s="145"/>
      <c r="D94" s="145"/>
      <c r="E94" s="145"/>
      <c r="F94" s="145"/>
      <c r="G94" s="145"/>
      <c r="H94" s="145"/>
      <c r="I94" s="145"/>
      <c r="J94" s="145"/>
      <c r="K94" s="145"/>
      <c r="L94" s="145"/>
      <c r="M94" s="145"/>
      <c r="N94" s="145"/>
      <c r="O94" s="145"/>
      <c r="P94" s="145"/>
      <c r="Q94" s="145"/>
      <c r="R94" s="145"/>
      <c r="S94" s="145"/>
      <c r="T94" s="145"/>
      <c r="U94" s="145"/>
      <c r="V94" s="145"/>
      <c r="W94" s="145"/>
      <c r="X94" s="146"/>
      <c r="Y94" s="145"/>
      <c r="Z94" s="145"/>
      <c r="AA94" s="146"/>
      <c r="AB94" s="146"/>
      <c r="AC94" s="145"/>
      <c r="AD94" s="145"/>
      <c r="AE94" s="146"/>
      <c r="AF94" s="146"/>
      <c r="AG94" s="145"/>
      <c r="AH94" s="146"/>
      <c r="AI94" s="146"/>
      <c r="AJ94" s="146"/>
      <c r="AK94" s="146"/>
      <c r="AL94" s="146"/>
      <c r="AM94" s="146"/>
      <c r="AN94" s="147"/>
      <c r="AO94" s="146"/>
      <c r="AP94" s="146"/>
      <c r="AQ94" s="146"/>
      <c r="AR94" s="146"/>
      <c r="AS94" s="146"/>
      <c r="AT94" s="146"/>
      <c r="AU94" s="146"/>
      <c r="AV94" s="146"/>
      <c r="AW94" s="146"/>
      <c r="AX94" s="146"/>
      <c r="AY94" s="146"/>
      <c r="AZ94" s="146"/>
    </row>
    <row r="95" spans="1:52">
      <c r="B95" s="146"/>
      <c r="C95" s="145"/>
      <c r="D95" s="145"/>
      <c r="E95" s="145"/>
      <c r="F95" s="145"/>
      <c r="G95" s="145"/>
      <c r="H95" s="145"/>
      <c r="I95" s="145"/>
      <c r="J95" s="145"/>
      <c r="K95" s="145"/>
      <c r="L95" s="145"/>
      <c r="M95" s="145"/>
      <c r="N95" s="145"/>
      <c r="O95" s="145"/>
      <c r="P95" s="145"/>
      <c r="Q95" s="145"/>
      <c r="R95" s="145"/>
      <c r="S95" s="145"/>
      <c r="T95" s="145"/>
      <c r="U95" s="145"/>
      <c r="V95" s="145"/>
      <c r="W95" s="145"/>
      <c r="X95" s="146"/>
      <c r="Y95" s="145"/>
      <c r="Z95" s="145"/>
      <c r="AA95" s="146"/>
      <c r="AB95" s="146"/>
      <c r="AC95" s="145"/>
      <c r="AD95" s="145"/>
      <c r="AE95" s="146"/>
      <c r="AF95" s="146"/>
      <c r="AG95" s="145"/>
      <c r="AH95" s="146"/>
      <c r="AI95" s="146"/>
      <c r="AJ95" s="146"/>
      <c r="AK95" s="146"/>
      <c r="AL95" s="146"/>
      <c r="AM95" s="146"/>
      <c r="AN95" s="147"/>
      <c r="AO95" s="146"/>
      <c r="AP95" s="146"/>
      <c r="AQ95" s="146"/>
      <c r="AR95" s="146"/>
      <c r="AS95" s="146"/>
      <c r="AT95" s="146"/>
      <c r="AU95" s="146"/>
      <c r="AV95" s="146"/>
      <c r="AW95" s="146"/>
      <c r="AX95" s="146"/>
      <c r="AY95" s="146"/>
      <c r="AZ95" s="146"/>
    </row>
    <row r="96" spans="1:52">
      <c r="B96" s="146"/>
      <c r="C96" s="145"/>
      <c r="D96" s="145"/>
      <c r="E96" s="145"/>
      <c r="F96" s="145"/>
      <c r="G96" s="145"/>
      <c r="H96" s="145"/>
      <c r="I96" s="145"/>
      <c r="J96" s="145"/>
      <c r="K96" s="145"/>
      <c r="L96" s="145"/>
      <c r="M96" s="145"/>
      <c r="N96" s="145"/>
      <c r="O96" s="145"/>
      <c r="P96" s="145"/>
      <c r="Q96" s="145"/>
      <c r="R96" s="145"/>
      <c r="S96" s="145"/>
      <c r="T96" s="145"/>
      <c r="U96" s="145"/>
      <c r="V96" s="145"/>
      <c r="W96" s="145"/>
      <c r="X96" s="146"/>
      <c r="Y96" s="145"/>
      <c r="Z96" s="145"/>
      <c r="AA96" s="146"/>
      <c r="AB96" s="146"/>
      <c r="AC96" s="145"/>
      <c r="AD96" s="145"/>
      <c r="AE96" s="146"/>
      <c r="AF96" s="146"/>
      <c r="AG96" s="145"/>
      <c r="AH96" s="146"/>
      <c r="AI96" s="146"/>
      <c r="AJ96" s="146"/>
      <c r="AK96" s="146"/>
      <c r="AL96" s="146"/>
      <c r="AM96" s="146"/>
      <c r="AN96" s="147"/>
      <c r="AO96" s="146"/>
      <c r="AP96" s="146"/>
      <c r="AQ96" s="146"/>
      <c r="AR96" s="146"/>
      <c r="AS96" s="146"/>
      <c r="AT96" s="146"/>
      <c r="AU96" s="146"/>
      <c r="AV96" s="146"/>
      <c r="AW96" s="146"/>
      <c r="AX96" s="146"/>
      <c r="AY96" s="146"/>
      <c r="AZ96" s="146"/>
    </row>
    <row r="97" spans="2:52">
      <c r="B97" s="146"/>
      <c r="C97" s="145"/>
      <c r="D97" s="145"/>
      <c r="E97" s="145"/>
      <c r="F97" s="145"/>
      <c r="G97" s="145"/>
      <c r="H97" s="145"/>
      <c r="I97" s="145"/>
      <c r="J97" s="145"/>
      <c r="K97" s="145"/>
      <c r="L97" s="145"/>
      <c r="M97" s="145"/>
      <c r="N97" s="145"/>
      <c r="O97" s="145"/>
      <c r="P97" s="145"/>
      <c r="Q97" s="145"/>
      <c r="R97" s="145"/>
      <c r="S97" s="145"/>
      <c r="T97" s="145"/>
      <c r="U97" s="145"/>
      <c r="V97" s="145"/>
      <c r="W97" s="145"/>
      <c r="X97" s="146"/>
      <c r="Y97" s="145"/>
      <c r="Z97" s="145"/>
      <c r="AA97" s="146"/>
      <c r="AB97" s="146"/>
      <c r="AC97" s="145"/>
      <c r="AD97" s="145"/>
      <c r="AE97" s="146"/>
      <c r="AF97" s="146"/>
      <c r="AG97" s="145"/>
      <c r="AH97" s="146"/>
      <c r="AI97" s="146"/>
      <c r="AJ97" s="146"/>
      <c r="AK97" s="146"/>
      <c r="AL97" s="146"/>
      <c r="AM97" s="146"/>
      <c r="AN97" s="147"/>
      <c r="AO97" s="146"/>
      <c r="AP97" s="146"/>
      <c r="AQ97" s="146"/>
      <c r="AR97" s="146"/>
      <c r="AS97" s="146"/>
      <c r="AT97" s="146"/>
      <c r="AU97" s="146"/>
      <c r="AV97" s="146"/>
      <c r="AW97" s="146"/>
      <c r="AX97" s="146"/>
      <c r="AY97" s="146"/>
      <c r="AZ97" s="146"/>
    </row>
    <row r="98" spans="2:52">
      <c r="B98" s="146"/>
      <c r="C98" s="145"/>
      <c r="D98" s="145"/>
      <c r="E98" s="145"/>
      <c r="F98" s="145"/>
      <c r="G98" s="145"/>
      <c r="H98" s="145"/>
      <c r="I98" s="145"/>
      <c r="J98" s="145"/>
      <c r="K98" s="145"/>
      <c r="L98" s="145"/>
      <c r="M98" s="145"/>
      <c r="N98" s="145"/>
      <c r="O98" s="145"/>
      <c r="P98" s="145"/>
      <c r="Q98" s="145"/>
      <c r="R98" s="145"/>
      <c r="S98" s="145"/>
      <c r="T98" s="145"/>
      <c r="U98" s="145"/>
      <c r="V98" s="145"/>
      <c r="W98" s="145"/>
      <c r="X98" s="146"/>
      <c r="Y98" s="145"/>
      <c r="Z98" s="145"/>
      <c r="AA98" s="146"/>
      <c r="AB98" s="146"/>
      <c r="AC98" s="145"/>
      <c r="AD98" s="145"/>
      <c r="AE98" s="146"/>
      <c r="AF98" s="146"/>
      <c r="AG98" s="145"/>
      <c r="AH98" s="146"/>
      <c r="AI98" s="146"/>
      <c r="AJ98" s="146"/>
      <c r="AK98" s="146"/>
      <c r="AL98" s="146"/>
      <c r="AM98" s="146"/>
      <c r="AN98" s="147"/>
      <c r="AO98" s="146"/>
      <c r="AP98" s="146"/>
      <c r="AQ98" s="146"/>
      <c r="AR98" s="146"/>
      <c r="AS98" s="146"/>
      <c r="AT98" s="146"/>
      <c r="AU98" s="146"/>
      <c r="AV98" s="146"/>
      <c r="AW98" s="146"/>
      <c r="AX98" s="146"/>
      <c r="AY98" s="146"/>
      <c r="AZ98" s="146"/>
    </row>
    <row r="99" spans="2:52">
      <c r="B99" s="146"/>
      <c r="C99" s="145"/>
      <c r="D99" s="145"/>
      <c r="E99" s="145"/>
      <c r="F99" s="145"/>
      <c r="G99" s="145"/>
      <c r="H99" s="145"/>
      <c r="I99" s="145"/>
      <c r="J99" s="145"/>
      <c r="K99" s="145"/>
      <c r="L99" s="145"/>
      <c r="M99" s="145"/>
      <c r="N99" s="145"/>
      <c r="O99" s="145"/>
      <c r="P99" s="145"/>
      <c r="Q99" s="145"/>
      <c r="R99" s="145"/>
      <c r="S99" s="145"/>
      <c r="T99" s="145"/>
      <c r="U99" s="145"/>
      <c r="V99" s="145"/>
      <c r="W99" s="145"/>
      <c r="X99" s="146"/>
      <c r="Y99" s="145"/>
      <c r="Z99" s="145"/>
      <c r="AA99" s="146"/>
      <c r="AB99" s="146"/>
      <c r="AC99" s="145"/>
      <c r="AD99" s="145"/>
      <c r="AE99" s="146"/>
      <c r="AF99" s="146"/>
      <c r="AG99" s="145"/>
      <c r="AH99" s="146"/>
      <c r="AI99" s="146"/>
      <c r="AJ99" s="146"/>
      <c r="AK99" s="146"/>
      <c r="AL99" s="146"/>
      <c r="AM99" s="146"/>
      <c r="AN99" s="147"/>
      <c r="AO99" s="146"/>
      <c r="AP99" s="146"/>
      <c r="AQ99" s="146"/>
      <c r="AR99" s="146"/>
      <c r="AS99" s="146"/>
      <c r="AT99" s="146"/>
      <c r="AU99" s="146"/>
      <c r="AV99" s="146"/>
      <c r="AW99" s="146"/>
      <c r="AX99" s="146"/>
      <c r="AY99" s="146"/>
      <c r="AZ99" s="146"/>
    </row>
    <row r="100" spans="2:52">
      <c r="B100" s="146"/>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6"/>
      <c r="Y100" s="145"/>
      <c r="Z100" s="145"/>
      <c r="AA100" s="146"/>
      <c r="AB100" s="146"/>
      <c r="AC100" s="145"/>
      <c r="AD100" s="145"/>
      <c r="AE100" s="146"/>
      <c r="AF100" s="146"/>
      <c r="AG100" s="145"/>
      <c r="AH100" s="146"/>
      <c r="AI100" s="146"/>
      <c r="AJ100" s="146"/>
      <c r="AK100" s="146"/>
      <c r="AL100" s="146"/>
      <c r="AM100" s="146"/>
      <c r="AN100" s="147"/>
      <c r="AO100" s="146"/>
      <c r="AP100" s="146"/>
      <c r="AQ100" s="146"/>
      <c r="AR100" s="146"/>
      <c r="AS100" s="146"/>
      <c r="AT100" s="146"/>
      <c r="AU100" s="146"/>
      <c r="AV100" s="146"/>
      <c r="AW100" s="146"/>
      <c r="AX100" s="146"/>
      <c r="AY100" s="146"/>
      <c r="AZ100" s="146"/>
    </row>
    <row r="101" spans="2:52">
      <c r="B101" s="146"/>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6"/>
      <c r="Y101" s="145"/>
      <c r="Z101" s="145"/>
      <c r="AA101" s="146"/>
      <c r="AB101" s="146"/>
      <c r="AC101" s="145"/>
      <c r="AD101" s="145"/>
      <c r="AE101" s="146"/>
      <c r="AF101" s="146"/>
      <c r="AG101" s="145"/>
      <c r="AH101" s="146"/>
      <c r="AI101" s="146"/>
      <c r="AJ101" s="146"/>
      <c r="AK101" s="146"/>
      <c r="AL101" s="146"/>
      <c r="AM101" s="146"/>
      <c r="AN101" s="147"/>
      <c r="AO101" s="146"/>
      <c r="AP101" s="146"/>
      <c r="AQ101" s="146"/>
      <c r="AR101" s="146"/>
      <c r="AS101" s="146"/>
      <c r="AT101" s="146"/>
      <c r="AU101" s="146"/>
      <c r="AV101" s="146"/>
      <c r="AW101" s="146"/>
      <c r="AX101" s="146"/>
      <c r="AY101" s="146"/>
      <c r="AZ101" s="146"/>
    </row>
    <row r="102" spans="2:52">
      <c r="B102" s="146"/>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6"/>
      <c r="Y102" s="145"/>
      <c r="Z102" s="145"/>
      <c r="AA102" s="146"/>
      <c r="AB102" s="146"/>
      <c r="AC102" s="145"/>
      <c r="AD102" s="145"/>
      <c r="AE102" s="146"/>
      <c r="AF102" s="146"/>
      <c r="AG102" s="145"/>
      <c r="AH102" s="146"/>
      <c r="AI102" s="146"/>
      <c r="AJ102" s="146"/>
      <c r="AK102" s="146"/>
      <c r="AL102" s="146"/>
      <c r="AM102" s="146"/>
      <c r="AN102" s="147"/>
      <c r="AO102" s="146"/>
      <c r="AP102" s="146"/>
      <c r="AQ102" s="146"/>
      <c r="AR102" s="146"/>
      <c r="AS102" s="146"/>
      <c r="AT102" s="146"/>
      <c r="AU102" s="146"/>
      <c r="AV102" s="146"/>
      <c r="AW102" s="146"/>
      <c r="AX102" s="146"/>
      <c r="AY102" s="146"/>
      <c r="AZ102" s="146"/>
    </row>
    <row r="103" spans="2:52">
      <c r="B103" s="146"/>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6"/>
      <c r="Y103" s="145"/>
      <c r="Z103" s="145"/>
      <c r="AA103" s="146"/>
      <c r="AB103" s="146"/>
      <c r="AC103" s="145"/>
      <c r="AD103" s="145"/>
      <c r="AE103" s="146"/>
      <c r="AF103" s="146"/>
      <c r="AG103" s="145"/>
      <c r="AH103" s="146"/>
      <c r="AI103" s="146"/>
      <c r="AJ103" s="146"/>
      <c r="AK103" s="146"/>
      <c r="AL103" s="146"/>
      <c r="AM103" s="146"/>
      <c r="AN103" s="147"/>
      <c r="AO103" s="146"/>
      <c r="AP103" s="146"/>
      <c r="AQ103" s="146"/>
      <c r="AR103" s="146"/>
      <c r="AS103" s="146"/>
      <c r="AT103" s="146"/>
      <c r="AU103" s="146"/>
      <c r="AV103" s="146"/>
      <c r="AW103" s="146"/>
      <c r="AX103" s="146"/>
      <c r="AY103" s="146"/>
      <c r="AZ103" s="146"/>
    </row>
    <row r="104" spans="2:52">
      <c r="B104" s="146"/>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6"/>
      <c r="Y104" s="145"/>
      <c r="Z104" s="145"/>
      <c r="AA104" s="146"/>
      <c r="AB104" s="146"/>
      <c r="AC104" s="145"/>
      <c r="AD104" s="145"/>
      <c r="AE104" s="146"/>
      <c r="AF104" s="146"/>
      <c r="AG104" s="145"/>
      <c r="AH104" s="146"/>
      <c r="AI104" s="146"/>
      <c r="AJ104" s="146"/>
      <c r="AK104" s="146"/>
      <c r="AL104" s="146"/>
      <c r="AM104" s="146"/>
      <c r="AN104" s="147"/>
      <c r="AO104" s="146"/>
      <c r="AP104" s="146"/>
      <c r="AQ104" s="146"/>
      <c r="AR104" s="146"/>
      <c r="AS104" s="146"/>
      <c r="AT104" s="146"/>
      <c r="AU104" s="146"/>
      <c r="AV104" s="146"/>
      <c r="AW104" s="146"/>
      <c r="AX104" s="146"/>
      <c r="AY104" s="146"/>
      <c r="AZ104" s="146"/>
    </row>
    <row r="105" spans="2:52">
      <c r="B105" s="146"/>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6"/>
      <c r="Y105" s="145"/>
      <c r="Z105" s="145"/>
      <c r="AA105" s="146"/>
      <c r="AB105" s="146"/>
      <c r="AC105" s="145"/>
      <c r="AD105" s="145"/>
      <c r="AE105" s="146"/>
      <c r="AF105" s="146"/>
      <c r="AG105" s="145"/>
      <c r="AH105" s="146"/>
      <c r="AI105" s="146"/>
      <c r="AJ105" s="146"/>
      <c r="AK105" s="146"/>
      <c r="AL105" s="146"/>
      <c r="AM105" s="146"/>
      <c r="AN105" s="147"/>
      <c r="AO105" s="146"/>
      <c r="AP105" s="146"/>
      <c r="AQ105" s="146"/>
      <c r="AR105" s="146"/>
      <c r="AS105" s="146"/>
      <c r="AT105" s="146"/>
      <c r="AU105" s="146"/>
      <c r="AV105" s="146"/>
      <c r="AW105" s="146"/>
      <c r="AX105" s="146"/>
      <c r="AY105" s="146"/>
      <c r="AZ105" s="146"/>
    </row>
    <row r="106" spans="2:52">
      <c r="B106" s="146"/>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6"/>
      <c r="Y106" s="145"/>
      <c r="Z106" s="145"/>
      <c r="AA106" s="146"/>
      <c r="AB106" s="146"/>
      <c r="AC106" s="145"/>
      <c r="AD106" s="145"/>
      <c r="AE106" s="146"/>
      <c r="AF106" s="146"/>
      <c r="AG106" s="145"/>
      <c r="AH106" s="146"/>
      <c r="AI106" s="146"/>
      <c r="AJ106" s="146"/>
      <c r="AK106" s="146"/>
      <c r="AL106" s="146"/>
      <c r="AM106" s="146"/>
      <c r="AN106" s="147"/>
      <c r="AO106" s="146"/>
      <c r="AP106" s="146"/>
      <c r="AQ106" s="146"/>
      <c r="AR106" s="146"/>
      <c r="AS106" s="146"/>
      <c r="AT106" s="146"/>
      <c r="AU106" s="146"/>
      <c r="AV106" s="146"/>
      <c r="AW106" s="146"/>
      <c r="AX106" s="146"/>
      <c r="AY106" s="146"/>
      <c r="AZ106" s="146"/>
    </row>
    <row r="107" spans="2:52">
      <c r="B107" s="146"/>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6"/>
      <c r="Y107" s="145"/>
      <c r="Z107" s="145"/>
      <c r="AA107" s="146"/>
      <c r="AB107" s="146"/>
      <c r="AC107" s="145"/>
      <c r="AD107" s="145"/>
      <c r="AE107" s="146"/>
      <c r="AF107" s="146"/>
      <c r="AG107" s="145"/>
      <c r="AH107" s="146"/>
      <c r="AI107" s="146"/>
      <c r="AJ107" s="146"/>
      <c r="AK107" s="146"/>
      <c r="AL107" s="146"/>
      <c r="AM107" s="146"/>
      <c r="AN107" s="147"/>
      <c r="AO107" s="146"/>
      <c r="AP107" s="146"/>
      <c r="AQ107" s="146"/>
      <c r="AR107" s="146"/>
      <c r="AS107" s="146"/>
      <c r="AT107" s="146"/>
      <c r="AU107" s="146"/>
      <c r="AV107" s="146"/>
      <c r="AW107" s="146"/>
      <c r="AX107" s="146"/>
      <c r="AY107" s="146"/>
      <c r="AZ107" s="146"/>
    </row>
    <row r="108" spans="2:52">
      <c r="B108" s="146"/>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6"/>
      <c r="Y108" s="145"/>
      <c r="Z108" s="145"/>
      <c r="AA108" s="146"/>
      <c r="AB108" s="146"/>
      <c r="AC108" s="145"/>
      <c r="AD108" s="145"/>
      <c r="AE108" s="146"/>
      <c r="AF108" s="146"/>
      <c r="AG108" s="145"/>
      <c r="AH108" s="146"/>
      <c r="AI108" s="146"/>
      <c r="AJ108" s="146"/>
      <c r="AK108" s="146"/>
      <c r="AL108" s="146"/>
      <c r="AM108" s="146"/>
      <c r="AN108" s="147"/>
      <c r="AO108" s="146"/>
      <c r="AP108" s="146"/>
      <c r="AQ108" s="146"/>
      <c r="AR108" s="146"/>
      <c r="AS108" s="146"/>
      <c r="AT108" s="146"/>
      <c r="AU108" s="146"/>
      <c r="AV108" s="146"/>
      <c r="AW108" s="146"/>
      <c r="AX108" s="146"/>
      <c r="AY108" s="146"/>
      <c r="AZ108" s="146"/>
    </row>
    <row r="109" spans="2:52">
      <c r="B109" s="146"/>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6"/>
      <c r="Y109" s="145"/>
      <c r="Z109" s="145"/>
      <c r="AA109" s="146"/>
      <c r="AB109" s="146"/>
      <c r="AC109" s="145"/>
      <c r="AD109" s="145"/>
      <c r="AE109" s="146"/>
      <c r="AF109" s="146"/>
      <c r="AG109" s="145"/>
      <c r="AH109" s="146"/>
      <c r="AI109" s="146"/>
      <c r="AJ109" s="146"/>
      <c r="AK109" s="146"/>
      <c r="AL109" s="146"/>
      <c r="AM109" s="146"/>
      <c r="AN109" s="147"/>
      <c r="AO109" s="146"/>
      <c r="AP109" s="146"/>
      <c r="AQ109" s="146"/>
      <c r="AR109" s="146"/>
      <c r="AS109" s="146"/>
      <c r="AT109" s="146"/>
      <c r="AU109" s="146"/>
      <c r="AV109" s="146"/>
      <c r="AW109" s="146"/>
      <c r="AX109" s="146"/>
      <c r="AY109" s="146"/>
      <c r="AZ109" s="146"/>
    </row>
    <row r="110" spans="2:52">
      <c r="B110" s="146"/>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6"/>
      <c r="Y110" s="145"/>
      <c r="Z110" s="145"/>
      <c r="AA110" s="146"/>
      <c r="AB110" s="146"/>
      <c r="AC110" s="145"/>
      <c r="AD110" s="145"/>
      <c r="AE110" s="146"/>
      <c r="AF110" s="146"/>
      <c r="AG110" s="145"/>
      <c r="AH110" s="146"/>
      <c r="AI110" s="146"/>
      <c r="AJ110" s="146"/>
      <c r="AK110" s="146"/>
      <c r="AL110" s="146"/>
      <c r="AM110" s="146"/>
      <c r="AN110" s="147"/>
      <c r="AO110" s="146"/>
      <c r="AP110" s="146"/>
      <c r="AQ110" s="146"/>
      <c r="AR110" s="146"/>
      <c r="AS110" s="146"/>
      <c r="AT110" s="146"/>
      <c r="AU110" s="146"/>
      <c r="AV110" s="146"/>
      <c r="AW110" s="146"/>
      <c r="AX110" s="146"/>
      <c r="AY110" s="146"/>
      <c r="AZ110" s="146"/>
    </row>
    <row r="111" spans="2:52">
      <c r="B111" s="146"/>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6"/>
      <c r="Y111" s="145"/>
      <c r="Z111" s="145"/>
      <c r="AA111" s="146"/>
      <c r="AB111" s="146"/>
      <c r="AC111" s="145"/>
      <c r="AD111" s="145"/>
      <c r="AE111" s="146"/>
      <c r="AF111" s="146"/>
      <c r="AG111" s="145"/>
      <c r="AH111" s="146"/>
      <c r="AI111" s="146"/>
      <c r="AJ111" s="146"/>
      <c r="AK111" s="146"/>
      <c r="AL111" s="146"/>
      <c r="AM111" s="146"/>
      <c r="AN111" s="147"/>
      <c r="AO111" s="146"/>
      <c r="AP111" s="146"/>
      <c r="AQ111" s="146"/>
      <c r="AR111" s="146"/>
      <c r="AS111" s="146"/>
      <c r="AT111" s="146"/>
      <c r="AU111" s="146"/>
      <c r="AV111" s="146"/>
      <c r="AW111" s="146"/>
      <c r="AX111" s="146"/>
      <c r="AY111" s="146"/>
      <c r="AZ111" s="146"/>
    </row>
    <row r="112" spans="2:52">
      <c r="B112" s="146"/>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6"/>
      <c r="Y112" s="145"/>
      <c r="Z112" s="145"/>
      <c r="AA112" s="146"/>
      <c r="AB112" s="146"/>
      <c r="AC112" s="145"/>
      <c r="AD112" s="145"/>
      <c r="AE112" s="146"/>
      <c r="AF112" s="146"/>
      <c r="AG112" s="145"/>
      <c r="AH112" s="146"/>
      <c r="AI112" s="146"/>
      <c r="AJ112" s="146"/>
      <c r="AK112" s="146"/>
      <c r="AL112" s="146"/>
      <c r="AM112" s="146"/>
      <c r="AN112" s="147"/>
      <c r="AO112" s="146"/>
      <c r="AP112" s="146"/>
      <c r="AQ112" s="146"/>
      <c r="AR112" s="146"/>
      <c r="AS112" s="146"/>
      <c r="AT112" s="146"/>
      <c r="AU112" s="146"/>
      <c r="AV112" s="146"/>
      <c r="AW112" s="146"/>
      <c r="AX112" s="146"/>
      <c r="AY112" s="146"/>
      <c r="AZ112" s="146"/>
    </row>
    <row r="113" spans="2:52">
      <c r="B113" s="146"/>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6"/>
      <c r="Y113" s="145"/>
      <c r="Z113" s="145"/>
      <c r="AA113" s="146"/>
      <c r="AB113" s="146"/>
      <c r="AC113" s="145"/>
      <c r="AD113" s="145"/>
      <c r="AE113" s="146"/>
      <c r="AF113" s="146"/>
      <c r="AG113" s="145"/>
      <c r="AH113" s="146"/>
      <c r="AI113" s="146"/>
      <c r="AJ113" s="146"/>
      <c r="AK113" s="146"/>
      <c r="AL113" s="146"/>
      <c r="AM113" s="146"/>
      <c r="AN113" s="147"/>
      <c r="AO113" s="146"/>
      <c r="AP113" s="146"/>
      <c r="AQ113" s="146"/>
      <c r="AR113" s="146"/>
      <c r="AS113" s="146"/>
      <c r="AT113" s="146"/>
      <c r="AU113" s="146"/>
      <c r="AV113" s="146"/>
      <c r="AW113" s="146"/>
      <c r="AX113" s="146"/>
      <c r="AY113" s="146"/>
      <c r="AZ113" s="146"/>
    </row>
    <row r="114" spans="2:52">
      <c r="B114" s="146"/>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6"/>
      <c r="Y114" s="145"/>
      <c r="Z114" s="145"/>
      <c r="AA114" s="146"/>
      <c r="AB114" s="146"/>
      <c r="AC114" s="145"/>
      <c r="AD114" s="145"/>
      <c r="AE114" s="146"/>
      <c r="AF114" s="146"/>
      <c r="AG114" s="145"/>
      <c r="AH114" s="146"/>
      <c r="AI114" s="146"/>
      <c r="AJ114" s="146"/>
      <c r="AK114" s="146"/>
      <c r="AL114" s="146"/>
      <c r="AM114" s="146"/>
      <c r="AN114" s="147"/>
      <c r="AO114" s="146"/>
      <c r="AP114" s="146"/>
      <c r="AQ114" s="146"/>
      <c r="AR114" s="146"/>
      <c r="AS114" s="146"/>
      <c r="AT114" s="146"/>
      <c r="AU114" s="146"/>
      <c r="AV114" s="146"/>
      <c r="AW114" s="146"/>
      <c r="AX114" s="146"/>
      <c r="AY114" s="146"/>
      <c r="AZ114" s="146"/>
    </row>
    <row r="115" spans="2:52">
      <c r="B115" s="146"/>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6"/>
      <c r="Y115" s="145"/>
      <c r="Z115" s="145"/>
      <c r="AA115" s="146"/>
      <c r="AB115" s="146"/>
      <c r="AC115" s="145"/>
      <c r="AD115" s="145"/>
      <c r="AE115" s="146"/>
      <c r="AF115" s="146"/>
      <c r="AG115" s="145"/>
      <c r="AH115" s="146"/>
      <c r="AI115" s="146"/>
      <c r="AJ115" s="146"/>
      <c r="AK115" s="146"/>
      <c r="AL115" s="146"/>
      <c r="AM115" s="146"/>
      <c r="AN115" s="147"/>
      <c r="AO115" s="146"/>
      <c r="AP115" s="146"/>
      <c r="AQ115" s="146"/>
      <c r="AR115" s="146"/>
      <c r="AS115" s="146"/>
      <c r="AT115" s="146"/>
      <c r="AU115" s="146"/>
      <c r="AV115" s="146"/>
      <c r="AW115" s="146"/>
      <c r="AX115" s="146"/>
      <c r="AY115" s="146"/>
      <c r="AZ115" s="146"/>
    </row>
    <row r="116" spans="2:52">
      <c r="B116" s="146"/>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6"/>
      <c r="Y116" s="145"/>
      <c r="Z116" s="145"/>
      <c r="AA116" s="146"/>
      <c r="AB116" s="146"/>
      <c r="AC116" s="145"/>
      <c r="AD116" s="145"/>
      <c r="AE116" s="146"/>
      <c r="AF116" s="146"/>
      <c r="AG116" s="145"/>
      <c r="AH116" s="146"/>
      <c r="AI116" s="146"/>
      <c r="AJ116" s="146"/>
      <c r="AK116" s="146"/>
      <c r="AL116" s="146"/>
      <c r="AM116" s="146"/>
      <c r="AN116" s="147"/>
      <c r="AO116" s="146"/>
      <c r="AP116" s="146"/>
      <c r="AQ116" s="146"/>
      <c r="AR116" s="146"/>
      <c r="AS116" s="146"/>
      <c r="AT116" s="146"/>
      <c r="AU116" s="146"/>
      <c r="AV116" s="146"/>
      <c r="AW116" s="146"/>
      <c r="AX116" s="146"/>
      <c r="AY116" s="146"/>
      <c r="AZ116" s="146"/>
    </row>
    <row r="117" spans="2:52">
      <c r="B117" s="146"/>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6"/>
      <c r="Y117" s="145"/>
      <c r="Z117" s="145"/>
      <c r="AA117" s="146"/>
      <c r="AB117" s="146"/>
      <c r="AC117" s="145"/>
      <c r="AD117" s="145"/>
      <c r="AE117" s="146"/>
      <c r="AF117" s="146"/>
      <c r="AG117" s="145"/>
      <c r="AH117" s="146"/>
      <c r="AI117" s="146"/>
      <c r="AJ117" s="146"/>
      <c r="AK117" s="146"/>
      <c r="AL117" s="146"/>
      <c r="AM117" s="146"/>
      <c r="AN117" s="147"/>
      <c r="AO117" s="146"/>
      <c r="AP117" s="146"/>
      <c r="AQ117" s="146"/>
      <c r="AR117" s="146"/>
      <c r="AS117" s="146"/>
      <c r="AT117" s="146"/>
      <c r="AU117" s="146"/>
      <c r="AV117" s="146"/>
      <c r="AW117" s="146"/>
      <c r="AX117" s="146"/>
      <c r="AY117" s="146"/>
      <c r="AZ117" s="146"/>
    </row>
    <row r="118" spans="2:52">
      <c r="B118" s="146"/>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6"/>
      <c r="Y118" s="145"/>
      <c r="Z118" s="145"/>
      <c r="AA118" s="146"/>
      <c r="AB118" s="146"/>
      <c r="AC118" s="145"/>
      <c r="AD118" s="145"/>
      <c r="AE118" s="146"/>
      <c r="AF118" s="146"/>
      <c r="AG118" s="145"/>
      <c r="AH118" s="146"/>
      <c r="AI118" s="146"/>
      <c r="AJ118" s="146"/>
      <c r="AK118" s="146"/>
      <c r="AL118" s="146"/>
      <c r="AM118" s="146"/>
      <c r="AN118" s="147"/>
      <c r="AO118" s="146"/>
      <c r="AP118" s="146"/>
      <c r="AQ118" s="146"/>
      <c r="AR118" s="146"/>
      <c r="AS118" s="146"/>
      <c r="AT118" s="146"/>
      <c r="AU118" s="146"/>
      <c r="AV118" s="146"/>
      <c r="AW118" s="146"/>
      <c r="AX118" s="146"/>
      <c r="AY118" s="146"/>
      <c r="AZ118" s="146"/>
    </row>
    <row r="119" spans="2:52">
      <c r="B119" s="146"/>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6"/>
      <c r="Y119" s="145"/>
      <c r="Z119" s="145"/>
      <c r="AA119" s="146"/>
      <c r="AB119" s="146"/>
      <c r="AC119" s="145"/>
      <c r="AD119" s="145"/>
      <c r="AE119" s="146"/>
      <c r="AF119" s="146"/>
      <c r="AG119" s="145"/>
      <c r="AH119" s="146"/>
      <c r="AI119" s="146"/>
      <c r="AJ119" s="146"/>
      <c r="AK119" s="146"/>
      <c r="AL119" s="146"/>
      <c r="AM119" s="146"/>
      <c r="AN119" s="147"/>
      <c r="AO119" s="146"/>
      <c r="AP119" s="146"/>
      <c r="AQ119" s="146"/>
      <c r="AR119" s="146"/>
      <c r="AS119" s="146"/>
      <c r="AT119" s="146"/>
      <c r="AU119" s="146"/>
      <c r="AV119" s="146"/>
      <c r="AW119" s="146"/>
      <c r="AX119" s="146"/>
      <c r="AY119" s="146"/>
      <c r="AZ119" s="146"/>
    </row>
    <row r="120" spans="2:52">
      <c r="B120" s="146"/>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6"/>
      <c r="Y120" s="145"/>
      <c r="Z120" s="145"/>
      <c r="AA120" s="146"/>
      <c r="AB120" s="146"/>
      <c r="AC120" s="145"/>
      <c r="AD120" s="145"/>
      <c r="AE120" s="146"/>
      <c r="AF120" s="146"/>
      <c r="AG120" s="145"/>
      <c r="AH120" s="146"/>
      <c r="AI120" s="146"/>
      <c r="AJ120" s="146"/>
      <c r="AK120" s="146"/>
      <c r="AL120" s="146"/>
      <c r="AM120" s="146"/>
      <c r="AN120" s="147"/>
      <c r="AO120" s="146"/>
      <c r="AP120" s="146"/>
      <c r="AQ120" s="146"/>
      <c r="AR120" s="146"/>
      <c r="AS120" s="146"/>
      <c r="AT120" s="146"/>
      <c r="AU120" s="146"/>
      <c r="AV120" s="146"/>
      <c r="AW120" s="146"/>
      <c r="AX120" s="146"/>
      <c r="AY120" s="146"/>
      <c r="AZ120" s="146"/>
    </row>
    <row r="121" spans="2:52">
      <c r="B121" s="146"/>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6"/>
      <c r="Y121" s="145"/>
      <c r="Z121" s="145"/>
      <c r="AA121" s="146"/>
      <c r="AB121" s="146"/>
      <c r="AC121" s="145"/>
      <c r="AD121" s="145"/>
      <c r="AE121" s="146"/>
      <c r="AF121" s="146"/>
      <c r="AG121" s="145"/>
      <c r="AH121" s="146"/>
      <c r="AI121" s="146"/>
      <c r="AJ121" s="146"/>
      <c r="AK121" s="146"/>
      <c r="AL121" s="146"/>
      <c r="AM121" s="146"/>
      <c r="AN121" s="147"/>
      <c r="AO121" s="146"/>
      <c r="AP121" s="146"/>
      <c r="AQ121" s="146"/>
      <c r="AR121" s="146"/>
      <c r="AS121" s="146"/>
      <c r="AT121" s="146"/>
      <c r="AU121" s="146"/>
      <c r="AV121" s="146"/>
      <c r="AW121" s="146"/>
      <c r="AX121" s="146"/>
      <c r="AY121" s="146"/>
      <c r="AZ121" s="146"/>
    </row>
    <row r="122" spans="2:52">
      <c r="B122" s="146"/>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6"/>
      <c r="Y122" s="145"/>
      <c r="Z122" s="145"/>
      <c r="AA122" s="146"/>
      <c r="AB122" s="146"/>
      <c r="AC122" s="145"/>
      <c r="AD122" s="145"/>
      <c r="AE122" s="146"/>
      <c r="AF122" s="146"/>
      <c r="AG122" s="145"/>
      <c r="AH122" s="146"/>
      <c r="AI122" s="146"/>
      <c r="AJ122" s="146"/>
      <c r="AK122" s="146"/>
      <c r="AL122" s="146"/>
      <c r="AM122" s="146"/>
      <c r="AN122" s="147"/>
      <c r="AO122" s="146"/>
      <c r="AP122" s="146"/>
      <c r="AQ122" s="146"/>
      <c r="AR122" s="146"/>
      <c r="AS122" s="146"/>
      <c r="AT122" s="146"/>
      <c r="AU122" s="146"/>
      <c r="AV122" s="146"/>
      <c r="AW122" s="146"/>
      <c r="AX122" s="146"/>
      <c r="AY122" s="146"/>
      <c r="AZ122" s="146"/>
    </row>
    <row r="123" spans="2:52">
      <c r="B123" s="146"/>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6"/>
      <c r="Y123" s="145"/>
      <c r="Z123" s="145"/>
      <c r="AA123" s="146"/>
      <c r="AB123" s="146"/>
      <c r="AC123" s="145"/>
      <c r="AD123" s="145"/>
      <c r="AE123" s="146"/>
      <c r="AF123" s="146"/>
      <c r="AG123" s="145"/>
      <c r="AH123" s="146"/>
      <c r="AI123" s="146"/>
      <c r="AJ123" s="146"/>
      <c r="AK123" s="146"/>
      <c r="AL123" s="146"/>
      <c r="AM123" s="146"/>
      <c r="AN123" s="147"/>
      <c r="AO123" s="146"/>
      <c r="AP123" s="146"/>
      <c r="AQ123" s="146"/>
      <c r="AR123" s="146"/>
      <c r="AS123" s="146"/>
      <c r="AT123" s="146"/>
      <c r="AU123" s="146"/>
      <c r="AV123" s="146"/>
      <c r="AW123" s="146"/>
      <c r="AX123" s="146"/>
      <c r="AY123" s="146"/>
      <c r="AZ123" s="146"/>
    </row>
    <row r="124" spans="2:52">
      <c r="B124" s="146"/>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6"/>
      <c r="Y124" s="145"/>
      <c r="Z124" s="145"/>
      <c r="AA124" s="146"/>
      <c r="AB124" s="146"/>
      <c r="AC124" s="145"/>
      <c r="AD124" s="145"/>
      <c r="AE124" s="146"/>
      <c r="AF124" s="146"/>
      <c r="AG124" s="145"/>
      <c r="AH124" s="146"/>
      <c r="AI124" s="146"/>
      <c r="AJ124" s="146"/>
      <c r="AK124" s="146"/>
      <c r="AL124" s="146"/>
      <c r="AM124" s="146"/>
      <c r="AN124" s="147"/>
      <c r="AO124" s="146"/>
      <c r="AP124" s="146"/>
      <c r="AQ124" s="146"/>
      <c r="AR124" s="146"/>
      <c r="AS124" s="146"/>
      <c r="AT124" s="146"/>
      <c r="AU124" s="146"/>
      <c r="AV124" s="146"/>
      <c r="AW124" s="146"/>
      <c r="AX124" s="146"/>
      <c r="AY124" s="146"/>
      <c r="AZ124" s="146"/>
    </row>
    <row r="125" spans="2:52">
      <c r="B125" s="146"/>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6"/>
      <c r="Y125" s="145"/>
      <c r="Z125" s="145"/>
      <c r="AA125" s="146"/>
      <c r="AB125" s="146"/>
      <c r="AC125" s="145"/>
      <c r="AD125" s="145"/>
      <c r="AE125" s="146"/>
      <c r="AF125" s="146"/>
      <c r="AG125" s="145"/>
      <c r="AH125" s="146"/>
      <c r="AI125" s="146"/>
      <c r="AJ125" s="146"/>
      <c r="AK125" s="146"/>
      <c r="AL125" s="146"/>
      <c r="AM125" s="146"/>
      <c r="AN125" s="147"/>
      <c r="AO125" s="146"/>
      <c r="AP125" s="146"/>
      <c r="AQ125" s="146"/>
      <c r="AR125" s="146"/>
      <c r="AS125" s="146"/>
      <c r="AT125" s="146"/>
      <c r="AU125" s="146"/>
      <c r="AV125" s="146"/>
      <c r="AW125" s="146"/>
      <c r="AX125" s="146"/>
      <c r="AY125" s="146"/>
      <c r="AZ125" s="146"/>
    </row>
    <row r="126" spans="2:52">
      <c r="B126" s="146"/>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6"/>
      <c r="Y126" s="145"/>
      <c r="Z126" s="145"/>
      <c r="AA126" s="146"/>
      <c r="AB126" s="146"/>
      <c r="AC126" s="145"/>
      <c r="AD126" s="145"/>
      <c r="AE126" s="146"/>
      <c r="AF126" s="146"/>
      <c r="AG126" s="145"/>
      <c r="AH126" s="146"/>
      <c r="AI126" s="146"/>
      <c r="AJ126" s="146"/>
      <c r="AK126" s="146"/>
      <c r="AL126" s="146"/>
      <c r="AM126" s="146"/>
      <c r="AN126" s="147"/>
      <c r="AO126" s="146"/>
      <c r="AP126" s="146"/>
      <c r="AQ126" s="146"/>
      <c r="AR126" s="146"/>
      <c r="AS126" s="146"/>
      <c r="AT126" s="146"/>
      <c r="AU126" s="146"/>
      <c r="AV126" s="146"/>
      <c r="AW126" s="146"/>
      <c r="AX126" s="146"/>
      <c r="AY126" s="146"/>
      <c r="AZ126" s="146"/>
    </row>
    <row r="127" spans="2:52">
      <c r="B127" s="146"/>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6"/>
      <c r="Y127" s="145"/>
      <c r="Z127" s="145"/>
      <c r="AA127" s="146"/>
      <c r="AB127" s="146"/>
      <c r="AC127" s="145"/>
      <c r="AD127" s="145"/>
      <c r="AE127" s="146"/>
      <c r="AF127" s="146"/>
      <c r="AG127" s="145"/>
      <c r="AH127" s="146"/>
      <c r="AI127" s="146"/>
      <c r="AJ127" s="146"/>
      <c r="AK127" s="146"/>
      <c r="AL127" s="146"/>
      <c r="AM127" s="146"/>
      <c r="AN127" s="147"/>
      <c r="AO127" s="146"/>
      <c r="AP127" s="146"/>
      <c r="AQ127" s="146"/>
      <c r="AR127" s="146"/>
      <c r="AS127" s="146"/>
      <c r="AT127" s="146"/>
      <c r="AU127" s="146"/>
      <c r="AV127" s="146"/>
      <c r="AW127" s="146"/>
      <c r="AX127" s="146"/>
      <c r="AY127" s="146"/>
      <c r="AZ127" s="146"/>
    </row>
    <row r="128" spans="2:52">
      <c r="B128" s="146"/>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6"/>
      <c r="Y128" s="145"/>
      <c r="Z128" s="145"/>
      <c r="AA128" s="146"/>
      <c r="AB128" s="146"/>
      <c r="AC128" s="145"/>
      <c r="AD128" s="145"/>
      <c r="AE128" s="146"/>
      <c r="AF128" s="146"/>
      <c r="AG128" s="145"/>
      <c r="AH128" s="146"/>
      <c r="AI128" s="146"/>
      <c r="AJ128" s="146"/>
      <c r="AK128" s="146"/>
      <c r="AL128" s="146"/>
      <c r="AM128" s="146"/>
      <c r="AN128" s="147"/>
      <c r="AO128" s="146"/>
      <c r="AP128" s="146"/>
      <c r="AQ128" s="146"/>
      <c r="AR128" s="146"/>
      <c r="AS128" s="146"/>
      <c r="AT128" s="146"/>
      <c r="AU128" s="146"/>
      <c r="AV128" s="146"/>
      <c r="AW128" s="146"/>
      <c r="AX128" s="146"/>
      <c r="AY128" s="146"/>
      <c r="AZ128" s="146"/>
    </row>
    <row r="129" spans="2:52">
      <c r="B129" s="146"/>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6"/>
      <c r="Y129" s="145"/>
      <c r="Z129" s="145"/>
      <c r="AA129" s="146"/>
      <c r="AB129" s="146"/>
      <c r="AC129" s="145"/>
      <c r="AD129" s="145"/>
      <c r="AE129" s="146"/>
      <c r="AF129" s="146"/>
      <c r="AG129" s="145"/>
      <c r="AH129" s="146"/>
      <c r="AI129" s="146"/>
      <c r="AJ129" s="146"/>
      <c r="AK129" s="146"/>
      <c r="AL129" s="146"/>
      <c r="AM129" s="146"/>
      <c r="AN129" s="147"/>
      <c r="AO129" s="146"/>
      <c r="AP129" s="146"/>
      <c r="AQ129" s="146"/>
      <c r="AR129" s="146"/>
      <c r="AS129" s="146"/>
      <c r="AT129" s="146"/>
      <c r="AU129" s="146"/>
      <c r="AV129" s="146"/>
      <c r="AW129" s="146"/>
      <c r="AX129" s="146"/>
      <c r="AY129" s="146"/>
      <c r="AZ129" s="146"/>
    </row>
    <row r="130" spans="2:52">
      <c r="B130" s="146"/>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6"/>
      <c r="Y130" s="145"/>
      <c r="Z130" s="145"/>
      <c r="AA130" s="146"/>
      <c r="AB130" s="146"/>
      <c r="AC130" s="145"/>
      <c r="AD130" s="145"/>
      <c r="AE130" s="146"/>
      <c r="AF130" s="146"/>
      <c r="AG130" s="145"/>
      <c r="AH130" s="146"/>
      <c r="AI130" s="146"/>
      <c r="AJ130" s="146"/>
      <c r="AK130" s="146"/>
      <c r="AL130" s="146"/>
      <c r="AM130" s="146"/>
      <c r="AN130" s="147"/>
      <c r="AO130" s="146"/>
      <c r="AP130" s="146"/>
      <c r="AQ130" s="146"/>
      <c r="AR130" s="146"/>
      <c r="AS130" s="146"/>
      <c r="AT130" s="146"/>
      <c r="AU130" s="146"/>
      <c r="AV130" s="146"/>
      <c r="AW130" s="146"/>
      <c r="AX130" s="146"/>
      <c r="AY130" s="146"/>
      <c r="AZ130" s="146"/>
    </row>
    <row r="131" spans="2:52">
      <c r="B131" s="146"/>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6"/>
      <c r="Y131" s="145"/>
      <c r="Z131" s="145"/>
      <c r="AA131" s="146"/>
      <c r="AB131" s="146"/>
      <c r="AC131" s="145"/>
      <c r="AD131" s="145"/>
      <c r="AE131" s="146"/>
      <c r="AF131" s="146"/>
      <c r="AG131" s="145"/>
      <c r="AH131" s="146"/>
      <c r="AI131" s="146"/>
      <c r="AJ131" s="146"/>
      <c r="AK131" s="146"/>
      <c r="AL131" s="146"/>
      <c r="AM131" s="146"/>
      <c r="AN131" s="147"/>
      <c r="AO131" s="146"/>
      <c r="AP131" s="146"/>
      <c r="AQ131" s="146"/>
      <c r="AR131" s="146"/>
      <c r="AS131" s="146"/>
      <c r="AT131" s="146"/>
      <c r="AU131" s="146"/>
      <c r="AV131" s="146"/>
      <c r="AW131" s="146"/>
      <c r="AX131" s="146"/>
      <c r="AY131" s="146"/>
      <c r="AZ131" s="146"/>
    </row>
    <row r="132" spans="2:52">
      <c r="B132" s="146"/>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6"/>
      <c r="Y132" s="145"/>
      <c r="Z132" s="145"/>
      <c r="AA132" s="146"/>
      <c r="AB132" s="146"/>
      <c r="AC132" s="145"/>
      <c r="AD132" s="145"/>
      <c r="AE132" s="146"/>
      <c r="AF132" s="146"/>
      <c r="AG132" s="145"/>
      <c r="AH132" s="146"/>
      <c r="AI132" s="146"/>
      <c r="AJ132" s="146"/>
      <c r="AK132" s="146"/>
      <c r="AL132" s="146"/>
      <c r="AM132" s="146"/>
      <c r="AN132" s="147"/>
      <c r="AO132" s="146"/>
      <c r="AP132" s="146"/>
      <c r="AQ132" s="146"/>
      <c r="AR132" s="146"/>
      <c r="AS132" s="146"/>
      <c r="AT132" s="146"/>
      <c r="AU132" s="146"/>
      <c r="AV132" s="146"/>
      <c r="AW132" s="146"/>
      <c r="AX132" s="146"/>
      <c r="AY132" s="146"/>
      <c r="AZ132" s="146"/>
    </row>
    <row r="133" spans="2:52">
      <c r="B133" s="146"/>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6"/>
      <c r="Y133" s="145"/>
      <c r="Z133" s="145"/>
      <c r="AA133" s="146"/>
      <c r="AB133" s="146"/>
      <c r="AC133" s="145"/>
      <c r="AD133" s="145"/>
      <c r="AE133" s="146"/>
      <c r="AF133" s="146"/>
      <c r="AG133" s="145"/>
      <c r="AH133" s="146"/>
      <c r="AI133" s="146"/>
      <c r="AJ133" s="146"/>
      <c r="AK133" s="146"/>
      <c r="AL133" s="146"/>
      <c r="AM133" s="146"/>
      <c r="AN133" s="147"/>
      <c r="AO133" s="146"/>
      <c r="AP133" s="146"/>
      <c r="AQ133" s="146"/>
      <c r="AR133" s="146"/>
      <c r="AS133" s="146"/>
      <c r="AT133" s="146"/>
      <c r="AU133" s="146"/>
      <c r="AV133" s="146"/>
      <c r="AW133" s="146"/>
      <c r="AX133" s="146"/>
      <c r="AY133" s="146"/>
      <c r="AZ133" s="146"/>
    </row>
    <row r="134" spans="2:52">
      <c r="B134" s="146"/>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6"/>
      <c r="Y134" s="145"/>
      <c r="Z134" s="145"/>
      <c r="AA134" s="146"/>
      <c r="AB134" s="146"/>
      <c r="AC134" s="145"/>
      <c r="AD134" s="145"/>
      <c r="AE134" s="146"/>
      <c r="AF134" s="146"/>
      <c r="AG134" s="145"/>
      <c r="AH134" s="146"/>
      <c r="AI134" s="146"/>
      <c r="AJ134" s="146"/>
      <c r="AK134" s="146"/>
      <c r="AL134" s="146"/>
      <c r="AM134" s="146"/>
      <c r="AN134" s="147"/>
      <c r="AO134" s="146"/>
      <c r="AP134" s="146"/>
      <c r="AQ134" s="146"/>
      <c r="AR134" s="146"/>
      <c r="AS134" s="146"/>
      <c r="AT134" s="146"/>
      <c r="AU134" s="146"/>
      <c r="AV134" s="146"/>
      <c r="AW134" s="146"/>
      <c r="AX134" s="146"/>
      <c r="AY134" s="146"/>
      <c r="AZ134" s="146"/>
    </row>
    <row r="135" spans="2:52">
      <c r="B135" s="146"/>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6"/>
      <c r="Y135" s="145"/>
      <c r="Z135" s="145"/>
      <c r="AA135" s="146"/>
      <c r="AB135" s="146"/>
      <c r="AC135" s="145"/>
      <c r="AD135" s="145"/>
      <c r="AE135" s="146"/>
      <c r="AF135" s="146"/>
      <c r="AG135" s="145"/>
      <c r="AH135" s="146"/>
      <c r="AI135" s="146"/>
      <c r="AJ135" s="146"/>
      <c r="AK135" s="146"/>
      <c r="AL135" s="146"/>
      <c r="AM135" s="146"/>
      <c r="AN135" s="147"/>
      <c r="AO135" s="146"/>
      <c r="AP135" s="146"/>
      <c r="AQ135" s="146"/>
      <c r="AR135" s="146"/>
      <c r="AS135" s="146"/>
      <c r="AT135" s="146"/>
      <c r="AU135" s="146"/>
      <c r="AV135" s="146"/>
      <c r="AW135" s="146"/>
      <c r="AX135" s="146"/>
      <c r="AY135" s="146"/>
      <c r="AZ135" s="146"/>
    </row>
    <row r="136" spans="2:52">
      <c r="B136" s="146"/>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6"/>
      <c r="Y136" s="145"/>
      <c r="Z136" s="145"/>
      <c r="AA136" s="146"/>
      <c r="AB136" s="146"/>
      <c r="AC136" s="145"/>
      <c r="AD136" s="145"/>
      <c r="AE136" s="146"/>
      <c r="AF136" s="146"/>
      <c r="AG136" s="145"/>
      <c r="AH136" s="146"/>
      <c r="AI136" s="146"/>
      <c r="AJ136" s="146"/>
      <c r="AK136" s="146"/>
    </row>
    <row r="137" spans="2:52">
      <c r="B137" s="146"/>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6"/>
      <c r="Y137" s="145"/>
      <c r="Z137" s="145"/>
      <c r="AA137" s="146"/>
      <c r="AB137" s="146"/>
      <c r="AC137" s="145"/>
      <c r="AD137" s="145"/>
      <c r="AE137" s="146"/>
      <c r="AF137" s="146"/>
      <c r="AG137" s="145"/>
      <c r="AH137" s="146"/>
      <c r="AI137" s="146"/>
      <c r="AJ137" s="146"/>
      <c r="AK137" s="146"/>
    </row>
    <row r="138" spans="2:52">
      <c r="B138" s="146"/>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6"/>
      <c r="Y138" s="145"/>
      <c r="Z138" s="145"/>
      <c r="AA138" s="146"/>
      <c r="AB138" s="146"/>
      <c r="AC138" s="145"/>
      <c r="AD138" s="145"/>
      <c r="AE138" s="146"/>
      <c r="AF138" s="146"/>
      <c r="AG138" s="145"/>
      <c r="AH138" s="146"/>
      <c r="AI138" s="146"/>
      <c r="AJ138" s="146"/>
      <c r="AK138" s="146"/>
    </row>
    <row r="139" spans="2:52">
      <c r="B139" s="146"/>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6"/>
      <c r="Y139" s="145"/>
      <c r="Z139" s="145"/>
      <c r="AA139" s="146"/>
      <c r="AB139" s="146"/>
      <c r="AC139" s="145"/>
      <c r="AD139" s="145"/>
      <c r="AE139" s="146"/>
      <c r="AF139" s="146"/>
      <c r="AG139" s="145"/>
      <c r="AH139" s="146"/>
      <c r="AI139" s="146"/>
      <c r="AJ139" s="146"/>
      <c r="AK139" s="146"/>
    </row>
    <row r="140" spans="2:52">
      <c r="B140" s="146"/>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6"/>
      <c r="Y140" s="145"/>
      <c r="Z140" s="145"/>
      <c r="AA140" s="146"/>
      <c r="AB140" s="146"/>
      <c r="AC140" s="145"/>
      <c r="AD140" s="145"/>
      <c r="AE140" s="146"/>
      <c r="AF140" s="146"/>
      <c r="AG140" s="145"/>
      <c r="AH140" s="146"/>
      <c r="AI140" s="146"/>
      <c r="AJ140" s="146"/>
      <c r="AK140" s="146"/>
    </row>
    <row r="141" spans="2:52">
      <c r="B141" s="146"/>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6"/>
      <c r="Y141" s="145"/>
      <c r="Z141" s="145"/>
      <c r="AA141" s="146"/>
      <c r="AB141" s="146"/>
      <c r="AC141" s="145"/>
      <c r="AD141" s="145"/>
      <c r="AE141" s="146"/>
      <c r="AF141" s="146"/>
      <c r="AG141" s="145"/>
      <c r="AH141" s="146"/>
      <c r="AI141" s="146"/>
      <c r="AJ141" s="146"/>
      <c r="AK141" s="146"/>
    </row>
    <row r="142" spans="2:52">
      <c r="B142" s="146"/>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6"/>
      <c r="Y142" s="145"/>
      <c r="Z142" s="145"/>
      <c r="AA142" s="146"/>
      <c r="AB142" s="146"/>
      <c r="AC142" s="145"/>
      <c r="AD142" s="145"/>
      <c r="AE142" s="146"/>
      <c r="AF142" s="146"/>
      <c r="AG142" s="145"/>
      <c r="AH142" s="146"/>
      <c r="AI142" s="146"/>
      <c r="AJ142" s="146"/>
      <c r="AK142" s="146"/>
    </row>
    <row r="143" spans="2:52">
      <c r="B143" s="146"/>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6"/>
      <c r="Y143" s="145"/>
      <c r="Z143" s="145"/>
      <c r="AA143" s="146"/>
      <c r="AB143" s="146"/>
      <c r="AC143" s="145"/>
      <c r="AD143" s="145"/>
      <c r="AE143" s="146"/>
      <c r="AF143" s="146"/>
      <c r="AG143" s="145"/>
      <c r="AH143" s="146"/>
      <c r="AI143" s="146"/>
      <c r="AJ143" s="146"/>
      <c r="AK143" s="146"/>
    </row>
    <row r="144" spans="2:52">
      <c r="B144" s="146"/>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6"/>
      <c r="Y144" s="145"/>
      <c r="Z144" s="145"/>
      <c r="AA144" s="146"/>
      <c r="AB144" s="146"/>
      <c r="AC144" s="145"/>
      <c r="AD144" s="145"/>
      <c r="AE144" s="146"/>
      <c r="AF144" s="146"/>
      <c r="AG144" s="145"/>
      <c r="AH144" s="146"/>
      <c r="AI144" s="146"/>
      <c r="AJ144" s="146"/>
      <c r="AK144" s="146"/>
    </row>
    <row r="145" spans="2:37">
      <c r="B145" s="146"/>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6"/>
      <c r="Y145" s="145"/>
      <c r="Z145" s="145"/>
      <c r="AA145" s="146"/>
      <c r="AB145" s="146"/>
      <c r="AC145" s="145"/>
      <c r="AD145" s="145"/>
      <c r="AE145" s="146"/>
      <c r="AF145" s="146"/>
      <c r="AG145" s="145"/>
      <c r="AH145" s="146"/>
      <c r="AI145" s="146"/>
      <c r="AJ145" s="146"/>
      <c r="AK145" s="146"/>
    </row>
    <row r="146" spans="2:37">
      <c r="B146" s="146"/>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6"/>
      <c r="Y146" s="145"/>
      <c r="Z146" s="145"/>
      <c r="AA146" s="146"/>
      <c r="AB146" s="146"/>
      <c r="AC146" s="145"/>
      <c r="AD146" s="145"/>
      <c r="AE146" s="146"/>
      <c r="AF146" s="146"/>
      <c r="AG146" s="145"/>
      <c r="AH146" s="146"/>
      <c r="AI146" s="146"/>
      <c r="AJ146" s="146"/>
      <c r="AK146" s="146"/>
    </row>
    <row r="147" spans="2:37">
      <c r="B147" s="146"/>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6"/>
      <c r="Y147" s="145"/>
      <c r="Z147" s="145"/>
      <c r="AA147" s="146"/>
      <c r="AB147" s="146"/>
      <c r="AC147" s="145"/>
      <c r="AD147" s="145"/>
      <c r="AE147" s="146"/>
      <c r="AF147" s="146"/>
      <c r="AG147" s="145"/>
      <c r="AH147" s="146"/>
      <c r="AI147" s="146"/>
      <c r="AJ147" s="146"/>
      <c r="AK147" s="146"/>
    </row>
    <row r="148" spans="2:37">
      <c r="B148" s="146"/>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6"/>
      <c r="Y148" s="145"/>
      <c r="Z148" s="145"/>
      <c r="AA148" s="146"/>
      <c r="AB148" s="146"/>
      <c r="AC148" s="145"/>
      <c r="AD148" s="145"/>
      <c r="AE148" s="146"/>
      <c r="AF148" s="146"/>
      <c r="AG148" s="145"/>
      <c r="AH148" s="146"/>
      <c r="AI148" s="146"/>
      <c r="AJ148" s="146"/>
      <c r="AK148" s="146"/>
    </row>
    <row r="149" spans="2:37">
      <c r="B149" s="146"/>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6"/>
      <c r="Y149" s="145"/>
      <c r="Z149" s="145"/>
      <c r="AA149" s="146"/>
      <c r="AB149" s="146"/>
      <c r="AC149" s="145"/>
      <c r="AD149" s="145"/>
      <c r="AE149" s="146"/>
      <c r="AF149" s="146"/>
      <c r="AG149" s="145"/>
      <c r="AH149" s="146"/>
      <c r="AI149" s="146"/>
      <c r="AJ149" s="146"/>
      <c r="AK149" s="146"/>
    </row>
    <row r="150" spans="2:37">
      <c r="B150" s="146"/>
      <c r="C150" s="145"/>
      <c r="D150" s="145"/>
      <c r="E150" s="145"/>
      <c r="F150" s="145"/>
      <c r="G150" s="145"/>
      <c r="H150" s="145"/>
      <c r="I150" s="145"/>
      <c r="J150" s="145"/>
      <c r="K150" s="145"/>
      <c r="L150" s="145"/>
      <c r="M150" s="145"/>
      <c r="N150" s="145"/>
      <c r="O150" s="145"/>
      <c r="P150" s="145"/>
      <c r="Q150" s="145"/>
      <c r="R150" s="145"/>
      <c r="S150" s="145"/>
      <c r="T150" s="145"/>
      <c r="U150" s="145"/>
      <c r="V150" s="145"/>
      <c r="W150" s="145"/>
      <c r="X150" s="146"/>
      <c r="Y150" s="145"/>
      <c r="Z150" s="145"/>
      <c r="AA150" s="146"/>
      <c r="AB150" s="146"/>
      <c r="AC150" s="145"/>
      <c r="AD150" s="145"/>
      <c r="AE150" s="146"/>
      <c r="AF150" s="146"/>
      <c r="AG150" s="145"/>
      <c r="AH150" s="146"/>
      <c r="AI150" s="146"/>
      <c r="AJ150" s="146"/>
      <c r="AK150" s="146"/>
    </row>
    <row r="151" spans="2:37">
      <c r="B151" s="146"/>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6"/>
      <c r="Y151" s="145"/>
      <c r="Z151" s="145"/>
      <c r="AA151" s="146"/>
      <c r="AB151" s="146"/>
      <c r="AC151" s="145"/>
      <c r="AD151" s="145"/>
      <c r="AE151" s="146"/>
      <c r="AF151" s="146"/>
      <c r="AG151" s="145"/>
      <c r="AH151" s="146"/>
      <c r="AI151" s="146"/>
      <c r="AJ151" s="146"/>
      <c r="AK151" s="146"/>
    </row>
    <row r="152" spans="2:37">
      <c r="B152" s="146"/>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6"/>
      <c r="Y152" s="145"/>
      <c r="Z152" s="145"/>
      <c r="AA152" s="146"/>
      <c r="AB152" s="146"/>
      <c r="AC152" s="145"/>
      <c r="AD152" s="145"/>
      <c r="AE152" s="146"/>
      <c r="AF152" s="146"/>
      <c r="AG152" s="145"/>
      <c r="AH152" s="146"/>
      <c r="AI152" s="146"/>
      <c r="AJ152" s="146"/>
      <c r="AK152" s="146"/>
    </row>
    <row r="153" spans="2:37">
      <c r="B153" s="146"/>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6"/>
      <c r="Y153" s="145"/>
      <c r="Z153" s="145"/>
      <c r="AA153" s="146"/>
      <c r="AB153" s="146"/>
      <c r="AC153" s="145"/>
      <c r="AD153" s="145"/>
      <c r="AE153" s="146"/>
      <c r="AF153" s="146"/>
      <c r="AG153" s="145"/>
      <c r="AH153" s="146"/>
      <c r="AI153" s="146"/>
      <c r="AJ153" s="146"/>
      <c r="AK153" s="146"/>
    </row>
    <row r="154" spans="2:37">
      <c r="B154" s="146"/>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6"/>
      <c r="Y154" s="145"/>
      <c r="Z154" s="145"/>
      <c r="AA154" s="146"/>
      <c r="AB154" s="146"/>
      <c r="AC154" s="145"/>
      <c r="AD154" s="145"/>
      <c r="AE154" s="146"/>
      <c r="AF154" s="146"/>
      <c r="AG154" s="145"/>
      <c r="AH154" s="146"/>
      <c r="AI154" s="146"/>
      <c r="AJ154" s="146"/>
      <c r="AK154" s="146"/>
    </row>
    <row r="155" spans="2:37">
      <c r="B155" s="146"/>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6"/>
      <c r="Y155" s="145"/>
      <c r="Z155" s="145"/>
      <c r="AA155" s="146"/>
      <c r="AB155" s="146"/>
      <c r="AC155" s="145"/>
      <c r="AD155" s="145"/>
      <c r="AE155" s="146"/>
      <c r="AF155" s="146"/>
      <c r="AG155" s="145"/>
      <c r="AH155" s="146"/>
      <c r="AI155" s="146"/>
      <c r="AJ155" s="146"/>
      <c r="AK155" s="146"/>
    </row>
    <row r="156" spans="2:37">
      <c r="B156" s="146"/>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6"/>
      <c r="Y156" s="145"/>
      <c r="Z156" s="145"/>
      <c r="AA156" s="146"/>
      <c r="AB156" s="146"/>
      <c r="AC156" s="145"/>
      <c r="AD156" s="145"/>
      <c r="AE156" s="146"/>
      <c r="AF156" s="146"/>
      <c r="AG156" s="145"/>
      <c r="AH156" s="146"/>
      <c r="AI156" s="146"/>
      <c r="AJ156" s="146"/>
      <c r="AK156" s="146"/>
    </row>
    <row r="157" spans="2:37">
      <c r="B157" s="146"/>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6"/>
      <c r="Y157" s="145"/>
      <c r="Z157" s="145"/>
      <c r="AA157" s="146"/>
      <c r="AB157" s="146"/>
      <c r="AC157" s="145"/>
      <c r="AD157" s="145"/>
      <c r="AE157" s="146"/>
      <c r="AF157" s="146"/>
      <c r="AG157" s="145"/>
      <c r="AH157" s="146"/>
      <c r="AI157" s="146"/>
      <c r="AJ157" s="146"/>
      <c r="AK157" s="146"/>
    </row>
    <row r="158" spans="2:37">
      <c r="B158" s="146"/>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6"/>
      <c r="Y158" s="145"/>
      <c r="Z158" s="145"/>
      <c r="AA158" s="146"/>
      <c r="AB158" s="146"/>
      <c r="AC158" s="145"/>
      <c r="AD158" s="145"/>
      <c r="AE158" s="146"/>
      <c r="AF158" s="146"/>
      <c r="AG158" s="145"/>
      <c r="AH158" s="146"/>
      <c r="AI158" s="146"/>
      <c r="AJ158" s="146"/>
      <c r="AK158" s="146"/>
    </row>
    <row r="159" spans="2:37">
      <c r="B159" s="146"/>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6"/>
      <c r="Y159" s="145"/>
      <c r="Z159" s="145"/>
      <c r="AA159" s="146"/>
      <c r="AB159" s="146"/>
      <c r="AC159" s="145"/>
      <c r="AD159" s="145"/>
      <c r="AE159" s="146"/>
      <c r="AF159" s="146"/>
      <c r="AG159" s="145"/>
      <c r="AH159" s="146"/>
      <c r="AI159" s="146"/>
      <c r="AJ159" s="146"/>
      <c r="AK159" s="146"/>
    </row>
    <row r="160" spans="2:37">
      <c r="B160" s="146"/>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6"/>
      <c r="Y160" s="145"/>
      <c r="Z160" s="145"/>
      <c r="AA160" s="146"/>
      <c r="AB160" s="146"/>
      <c r="AC160" s="145"/>
      <c r="AD160" s="145"/>
      <c r="AE160" s="146"/>
      <c r="AF160" s="146"/>
      <c r="AG160" s="145"/>
      <c r="AH160" s="146"/>
      <c r="AI160" s="146"/>
      <c r="AJ160" s="146"/>
      <c r="AK160" s="146"/>
    </row>
    <row r="161" spans="2:37">
      <c r="B161" s="146"/>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6"/>
      <c r="Y161" s="145"/>
      <c r="Z161" s="145"/>
      <c r="AA161" s="146"/>
      <c r="AB161" s="146"/>
      <c r="AC161" s="145"/>
      <c r="AD161" s="145"/>
      <c r="AE161" s="146"/>
      <c r="AF161" s="146"/>
      <c r="AG161" s="145"/>
      <c r="AH161" s="146"/>
      <c r="AI161" s="146"/>
      <c r="AJ161" s="146"/>
      <c r="AK161" s="146"/>
    </row>
    <row r="162" spans="2:37">
      <c r="B162" s="146"/>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6"/>
      <c r="Y162" s="145"/>
      <c r="Z162" s="145"/>
      <c r="AA162" s="146"/>
      <c r="AB162" s="146"/>
      <c r="AC162" s="145"/>
      <c r="AD162" s="145"/>
      <c r="AE162" s="146"/>
      <c r="AF162" s="146"/>
      <c r="AG162" s="145"/>
      <c r="AH162" s="146"/>
      <c r="AI162" s="146"/>
      <c r="AJ162" s="146"/>
      <c r="AK162" s="146"/>
    </row>
    <row r="163" spans="2:37">
      <c r="B163" s="146"/>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6"/>
      <c r="Y163" s="145"/>
      <c r="Z163" s="145"/>
      <c r="AA163" s="146"/>
      <c r="AB163" s="146"/>
      <c r="AC163" s="145"/>
      <c r="AD163" s="145"/>
      <c r="AE163" s="146"/>
      <c r="AF163" s="146"/>
      <c r="AG163" s="145"/>
      <c r="AH163" s="146"/>
      <c r="AI163" s="146"/>
      <c r="AJ163" s="146"/>
      <c r="AK163" s="146"/>
    </row>
    <row r="164" spans="2:37">
      <c r="B164" s="146"/>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6"/>
      <c r="Y164" s="145"/>
      <c r="Z164" s="145"/>
      <c r="AA164" s="146"/>
      <c r="AB164" s="146"/>
      <c r="AC164" s="145"/>
      <c r="AD164" s="145"/>
      <c r="AE164" s="146"/>
      <c r="AF164" s="146"/>
      <c r="AG164" s="145"/>
      <c r="AH164" s="146"/>
      <c r="AI164" s="146"/>
      <c r="AJ164" s="146"/>
      <c r="AK164" s="146"/>
    </row>
    <row r="165" spans="2:37">
      <c r="B165" s="146"/>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6"/>
      <c r="Y165" s="145"/>
      <c r="Z165" s="145"/>
      <c r="AA165" s="146"/>
      <c r="AB165" s="146"/>
      <c r="AC165" s="145"/>
      <c r="AD165" s="145"/>
      <c r="AE165" s="146"/>
      <c r="AF165" s="146"/>
      <c r="AG165" s="145"/>
      <c r="AH165" s="146"/>
      <c r="AI165" s="146"/>
      <c r="AJ165" s="146"/>
      <c r="AK165" s="146"/>
    </row>
    <row r="166" spans="2:37">
      <c r="B166" s="146"/>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6"/>
      <c r="Y166" s="145"/>
      <c r="Z166" s="145"/>
      <c r="AA166" s="146"/>
      <c r="AB166" s="146"/>
      <c r="AC166" s="145"/>
      <c r="AD166" s="145"/>
      <c r="AE166" s="146"/>
      <c r="AF166" s="146"/>
      <c r="AG166" s="145"/>
      <c r="AH166" s="146"/>
      <c r="AI166" s="146"/>
      <c r="AJ166" s="146"/>
      <c r="AK166" s="146"/>
    </row>
    <row r="167" spans="2:37">
      <c r="B167" s="146"/>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6"/>
      <c r="Y167" s="145"/>
      <c r="Z167" s="145"/>
      <c r="AA167" s="146"/>
      <c r="AB167" s="146"/>
      <c r="AC167" s="145"/>
      <c r="AD167" s="145"/>
      <c r="AE167" s="146"/>
      <c r="AF167" s="146"/>
      <c r="AG167" s="145"/>
      <c r="AH167" s="146"/>
      <c r="AI167" s="146"/>
      <c r="AJ167" s="146"/>
      <c r="AK167" s="146"/>
    </row>
    <row r="168" spans="2:37">
      <c r="B168" s="146"/>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6"/>
      <c r="Y168" s="145"/>
      <c r="Z168" s="145"/>
      <c r="AA168" s="146"/>
      <c r="AB168" s="146"/>
      <c r="AC168" s="145"/>
      <c r="AD168" s="145"/>
      <c r="AE168" s="146"/>
      <c r="AF168" s="146"/>
      <c r="AG168" s="145"/>
      <c r="AH168" s="146"/>
      <c r="AI168" s="146"/>
      <c r="AJ168" s="146"/>
      <c r="AK168" s="146"/>
    </row>
    <row r="169" spans="2:37">
      <c r="B169" s="146"/>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6"/>
      <c r="Y169" s="145"/>
      <c r="Z169" s="145"/>
      <c r="AA169" s="146"/>
      <c r="AB169" s="146"/>
      <c r="AC169" s="145"/>
      <c r="AD169" s="145"/>
      <c r="AE169" s="146"/>
      <c r="AF169" s="146"/>
      <c r="AG169" s="145"/>
      <c r="AH169" s="146"/>
      <c r="AI169" s="146"/>
      <c r="AJ169" s="146"/>
      <c r="AK169" s="146"/>
    </row>
    <row r="170" spans="2:37">
      <c r="B170" s="146"/>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6"/>
      <c r="Y170" s="145"/>
      <c r="Z170" s="145"/>
      <c r="AA170" s="146"/>
      <c r="AB170" s="146"/>
      <c r="AC170" s="145"/>
      <c r="AD170" s="145"/>
      <c r="AE170" s="146"/>
      <c r="AF170" s="146"/>
      <c r="AG170" s="145"/>
      <c r="AH170" s="146"/>
      <c r="AI170" s="146"/>
      <c r="AJ170" s="146"/>
      <c r="AK170" s="146"/>
    </row>
    <row r="171" spans="2:37">
      <c r="B171" s="146"/>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6"/>
      <c r="Y171" s="145"/>
      <c r="Z171" s="145"/>
      <c r="AA171" s="146"/>
      <c r="AB171" s="146"/>
      <c r="AC171" s="145"/>
      <c r="AD171" s="145"/>
      <c r="AE171" s="146"/>
      <c r="AF171" s="146"/>
      <c r="AG171" s="145"/>
      <c r="AH171" s="146"/>
      <c r="AI171" s="146"/>
      <c r="AJ171" s="146"/>
      <c r="AK171" s="146"/>
    </row>
    <row r="172" spans="2:37">
      <c r="B172" s="146"/>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6"/>
      <c r="Y172" s="145"/>
      <c r="Z172" s="145"/>
      <c r="AA172" s="146"/>
      <c r="AB172" s="146"/>
      <c r="AC172" s="145"/>
      <c r="AD172" s="145"/>
      <c r="AE172" s="146"/>
      <c r="AF172" s="146"/>
      <c r="AG172" s="145"/>
      <c r="AH172" s="146"/>
      <c r="AI172" s="146"/>
      <c r="AJ172" s="146"/>
      <c r="AK172" s="146"/>
    </row>
    <row r="173" spans="2:37">
      <c r="B173" s="146"/>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6"/>
      <c r="Y173" s="145"/>
      <c r="Z173" s="145"/>
      <c r="AA173" s="146"/>
      <c r="AB173" s="146"/>
      <c r="AC173" s="145"/>
      <c r="AD173" s="145"/>
      <c r="AE173" s="146"/>
      <c r="AF173" s="146"/>
      <c r="AG173" s="145"/>
      <c r="AH173" s="146"/>
      <c r="AI173" s="146"/>
      <c r="AJ173" s="146"/>
      <c r="AK173" s="146"/>
    </row>
    <row r="174" spans="2:37">
      <c r="B174" s="146"/>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6"/>
      <c r="Y174" s="145"/>
      <c r="Z174" s="145"/>
      <c r="AA174" s="146"/>
      <c r="AB174" s="146"/>
      <c r="AC174" s="145"/>
      <c r="AD174" s="145"/>
      <c r="AE174" s="146"/>
      <c r="AF174" s="146"/>
      <c r="AG174" s="145"/>
      <c r="AH174" s="146"/>
      <c r="AI174" s="146"/>
      <c r="AJ174" s="146"/>
      <c r="AK174" s="146"/>
    </row>
    <row r="175" spans="2:37">
      <c r="B175" s="146"/>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6"/>
      <c r="Y175" s="145"/>
      <c r="Z175" s="145"/>
      <c r="AA175" s="146"/>
      <c r="AB175" s="146"/>
      <c r="AC175" s="145"/>
      <c r="AD175" s="145"/>
      <c r="AE175" s="146"/>
      <c r="AF175" s="146"/>
      <c r="AG175" s="145"/>
      <c r="AH175" s="146"/>
      <c r="AI175" s="146"/>
      <c r="AJ175" s="146"/>
      <c r="AK175" s="146"/>
    </row>
    <row r="176" spans="2:37">
      <c r="B176" s="146"/>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6"/>
      <c r="Y176" s="145"/>
      <c r="Z176" s="145"/>
      <c r="AA176" s="146"/>
      <c r="AB176" s="146"/>
      <c r="AC176" s="145"/>
      <c r="AD176" s="145"/>
      <c r="AE176" s="146"/>
      <c r="AF176" s="146"/>
      <c r="AG176" s="145"/>
      <c r="AH176" s="146"/>
      <c r="AI176" s="146"/>
      <c r="AJ176" s="146"/>
      <c r="AK176" s="146"/>
    </row>
    <row r="177" spans="2:37">
      <c r="B177" s="146"/>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6"/>
      <c r="Y177" s="145"/>
      <c r="Z177" s="145"/>
      <c r="AA177" s="146"/>
      <c r="AB177" s="146"/>
      <c r="AC177" s="145"/>
      <c r="AD177" s="145"/>
      <c r="AE177" s="146"/>
      <c r="AF177" s="146"/>
      <c r="AG177" s="145"/>
      <c r="AH177" s="146"/>
      <c r="AI177" s="146"/>
      <c r="AJ177" s="146"/>
      <c r="AK177" s="146"/>
    </row>
    <row r="178" spans="2:37">
      <c r="B178" s="146"/>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6"/>
      <c r="Y178" s="145"/>
      <c r="Z178" s="145"/>
      <c r="AA178" s="146"/>
      <c r="AB178" s="146"/>
      <c r="AC178" s="145"/>
      <c r="AD178" s="145"/>
      <c r="AE178" s="146"/>
      <c r="AF178" s="146"/>
      <c r="AG178" s="145"/>
      <c r="AH178" s="146"/>
      <c r="AI178" s="146"/>
      <c r="AJ178" s="146"/>
      <c r="AK178" s="146"/>
    </row>
    <row r="179" spans="2:37">
      <c r="B179" s="146"/>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6"/>
      <c r="Y179" s="145"/>
      <c r="Z179" s="145"/>
      <c r="AA179" s="146"/>
      <c r="AB179" s="146"/>
      <c r="AC179" s="145"/>
      <c r="AD179" s="145"/>
      <c r="AE179" s="146"/>
      <c r="AF179" s="146"/>
      <c r="AG179" s="145"/>
      <c r="AH179" s="146"/>
      <c r="AI179" s="146"/>
      <c r="AJ179" s="146"/>
      <c r="AK179" s="146"/>
    </row>
    <row r="180" spans="2:37">
      <c r="B180" s="146"/>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6"/>
      <c r="Y180" s="145"/>
      <c r="Z180" s="145"/>
      <c r="AA180" s="146"/>
      <c r="AB180" s="146"/>
      <c r="AC180" s="145"/>
      <c r="AD180" s="145"/>
      <c r="AE180" s="146"/>
      <c r="AF180" s="146"/>
      <c r="AG180" s="145"/>
      <c r="AH180" s="146"/>
      <c r="AI180" s="146"/>
      <c r="AJ180" s="146"/>
      <c r="AK180" s="146"/>
    </row>
    <row r="181" spans="2:37">
      <c r="B181" s="146"/>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6"/>
      <c r="Y181" s="145"/>
      <c r="Z181" s="145"/>
      <c r="AA181" s="146"/>
      <c r="AB181" s="146"/>
      <c r="AC181" s="145"/>
      <c r="AD181" s="145"/>
      <c r="AE181" s="146"/>
      <c r="AF181" s="146"/>
      <c r="AG181" s="145"/>
      <c r="AH181" s="146"/>
      <c r="AI181" s="146"/>
      <c r="AJ181" s="146"/>
      <c r="AK181" s="146"/>
    </row>
    <row r="182" spans="2:37">
      <c r="B182" s="146"/>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6"/>
      <c r="Y182" s="145"/>
      <c r="Z182" s="145"/>
      <c r="AA182" s="146"/>
      <c r="AB182" s="146"/>
      <c r="AC182" s="145"/>
      <c r="AD182" s="145"/>
      <c r="AE182" s="146"/>
      <c r="AF182" s="146"/>
      <c r="AG182" s="145"/>
      <c r="AH182" s="146"/>
      <c r="AI182" s="146"/>
      <c r="AJ182" s="146"/>
      <c r="AK182" s="146"/>
    </row>
    <row r="183" spans="2:37">
      <c r="B183" s="146"/>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6"/>
      <c r="Y183" s="145"/>
      <c r="Z183" s="145"/>
      <c r="AA183" s="146"/>
      <c r="AB183" s="146"/>
      <c r="AC183" s="145"/>
      <c r="AD183" s="145"/>
      <c r="AE183" s="146"/>
      <c r="AF183" s="146"/>
      <c r="AG183" s="145"/>
      <c r="AH183" s="146"/>
      <c r="AI183" s="146"/>
      <c r="AJ183" s="146"/>
      <c r="AK183" s="146"/>
    </row>
    <row r="184" spans="2:37">
      <c r="B184" s="146"/>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6"/>
      <c r="Y184" s="145"/>
      <c r="Z184" s="145"/>
      <c r="AA184" s="146"/>
      <c r="AB184" s="146"/>
      <c r="AC184" s="145"/>
      <c r="AD184" s="145"/>
      <c r="AE184" s="146"/>
      <c r="AF184" s="146"/>
      <c r="AG184" s="145"/>
      <c r="AH184" s="146"/>
      <c r="AI184" s="146"/>
      <c r="AJ184" s="146"/>
      <c r="AK184" s="146"/>
    </row>
    <row r="185" spans="2:37">
      <c r="B185" s="146"/>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6"/>
      <c r="Y185" s="145"/>
      <c r="Z185" s="145"/>
      <c r="AA185" s="146"/>
      <c r="AB185" s="146"/>
      <c r="AC185" s="145"/>
      <c r="AD185" s="145"/>
      <c r="AE185" s="146"/>
      <c r="AF185" s="146"/>
      <c r="AG185" s="145"/>
      <c r="AH185" s="146"/>
      <c r="AI185" s="146"/>
      <c r="AJ185" s="146"/>
      <c r="AK185" s="146"/>
    </row>
    <row r="186" spans="2:37">
      <c r="B186" s="146"/>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6"/>
      <c r="Y186" s="145"/>
      <c r="Z186" s="145"/>
      <c r="AA186" s="146"/>
      <c r="AB186" s="146"/>
      <c r="AC186" s="145"/>
      <c r="AD186" s="145"/>
      <c r="AE186" s="146"/>
      <c r="AF186" s="146"/>
      <c r="AG186" s="145"/>
      <c r="AH186" s="146"/>
      <c r="AI186" s="146"/>
      <c r="AJ186" s="146"/>
      <c r="AK186" s="146"/>
    </row>
    <row r="187" spans="2:37">
      <c r="B187" s="146"/>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6"/>
      <c r="Y187" s="145"/>
      <c r="Z187" s="145"/>
      <c r="AA187" s="146"/>
      <c r="AB187" s="146"/>
      <c r="AC187" s="145"/>
      <c r="AD187" s="145"/>
      <c r="AE187" s="146"/>
      <c r="AF187" s="146"/>
      <c r="AG187" s="145"/>
      <c r="AH187" s="146"/>
      <c r="AI187" s="146"/>
      <c r="AJ187" s="146"/>
      <c r="AK187" s="146"/>
    </row>
    <row r="188" spans="2:37">
      <c r="B188" s="146"/>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6"/>
      <c r="Y188" s="145"/>
      <c r="Z188" s="145"/>
      <c r="AA188" s="146"/>
      <c r="AB188" s="146"/>
      <c r="AC188" s="145"/>
      <c r="AD188" s="145"/>
      <c r="AE188" s="146"/>
      <c r="AF188" s="146"/>
      <c r="AG188" s="145"/>
      <c r="AH188" s="146"/>
      <c r="AI188" s="146"/>
      <c r="AJ188" s="146"/>
      <c r="AK188" s="146"/>
    </row>
    <row r="189" spans="2:37">
      <c r="B189" s="146"/>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6"/>
      <c r="Y189" s="145"/>
      <c r="Z189" s="145"/>
      <c r="AA189" s="146"/>
      <c r="AB189" s="146"/>
      <c r="AC189" s="145"/>
      <c r="AD189" s="145"/>
      <c r="AE189" s="146"/>
      <c r="AF189" s="146"/>
      <c r="AG189" s="145"/>
      <c r="AH189" s="146"/>
      <c r="AI189" s="146"/>
      <c r="AJ189" s="146"/>
      <c r="AK189" s="146"/>
    </row>
    <row r="190" spans="2:37">
      <c r="B190" s="146"/>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6"/>
      <c r="Y190" s="145"/>
      <c r="Z190" s="145"/>
      <c r="AA190" s="146"/>
      <c r="AB190" s="146"/>
      <c r="AC190" s="145"/>
      <c r="AD190" s="145"/>
      <c r="AE190" s="146"/>
      <c r="AF190" s="146"/>
      <c r="AG190" s="145"/>
      <c r="AH190" s="146"/>
      <c r="AI190" s="146"/>
      <c r="AJ190" s="146"/>
      <c r="AK190" s="146"/>
    </row>
    <row r="191" spans="2:37">
      <c r="B191" s="146"/>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6"/>
      <c r="Y191" s="145"/>
      <c r="Z191" s="145"/>
      <c r="AA191" s="146"/>
      <c r="AB191" s="146"/>
      <c r="AC191" s="145"/>
      <c r="AD191" s="145"/>
      <c r="AE191" s="146"/>
      <c r="AF191" s="146"/>
      <c r="AG191" s="145"/>
      <c r="AH191" s="146"/>
      <c r="AI191" s="146"/>
      <c r="AJ191" s="146"/>
      <c r="AK191" s="146"/>
    </row>
    <row r="192" spans="2:37">
      <c r="B192" s="146"/>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6"/>
      <c r="Y192" s="145"/>
      <c r="Z192" s="145"/>
      <c r="AA192" s="146"/>
      <c r="AB192" s="146"/>
      <c r="AC192" s="145"/>
      <c r="AD192" s="145"/>
      <c r="AE192" s="146"/>
      <c r="AF192" s="146"/>
      <c r="AG192" s="145"/>
      <c r="AH192" s="146"/>
      <c r="AI192" s="146"/>
      <c r="AJ192" s="146"/>
      <c r="AK192" s="146"/>
    </row>
    <row r="193" spans="2:37">
      <c r="B193" s="146"/>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6"/>
      <c r="Y193" s="145"/>
      <c r="Z193" s="145"/>
      <c r="AA193" s="146"/>
      <c r="AB193" s="146"/>
      <c r="AC193" s="145"/>
      <c r="AD193" s="145"/>
      <c r="AE193" s="146"/>
      <c r="AF193" s="146"/>
      <c r="AG193" s="145"/>
      <c r="AH193" s="146"/>
      <c r="AI193" s="146"/>
      <c r="AJ193" s="146"/>
      <c r="AK193" s="146"/>
    </row>
    <row r="194" spans="2:37">
      <c r="B194" s="146"/>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6"/>
      <c r="Y194" s="145"/>
      <c r="Z194" s="145"/>
      <c r="AA194" s="146"/>
      <c r="AB194" s="146"/>
      <c r="AC194" s="145"/>
      <c r="AD194" s="145"/>
      <c r="AE194" s="146"/>
      <c r="AF194" s="146"/>
      <c r="AG194" s="145"/>
      <c r="AH194" s="146"/>
      <c r="AI194" s="146"/>
      <c r="AJ194" s="146"/>
      <c r="AK194" s="146"/>
    </row>
    <row r="195" spans="2:37">
      <c r="B195" s="146"/>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6"/>
      <c r="Y195" s="145"/>
      <c r="Z195" s="145"/>
      <c r="AA195" s="146"/>
      <c r="AB195" s="146"/>
      <c r="AC195" s="145"/>
      <c r="AD195" s="145"/>
      <c r="AE195" s="146"/>
      <c r="AF195" s="146"/>
      <c r="AG195" s="145"/>
      <c r="AH195" s="146"/>
      <c r="AI195" s="146"/>
      <c r="AJ195" s="146"/>
      <c r="AK195" s="146"/>
    </row>
    <row r="196" spans="2:37">
      <c r="B196" s="146"/>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6"/>
      <c r="Y196" s="145"/>
      <c r="Z196" s="145"/>
      <c r="AA196" s="146"/>
      <c r="AB196" s="146"/>
      <c r="AC196" s="145"/>
      <c r="AD196" s="145"/>
      <c r="AE196" s="146"/>
      <c r="AF196" s="146"/>
      <c r="AG196" s="145"/>
      <c r="AH196" s="146"/>
      <c r="AI196" s="146"/>
      <c r="AJ196" s="146"/>
      <c r="AK196" s="146"/>
    </row>
    <row r="197" spans="2:37">
      <c r="B197" s="146"/>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6"/>
      <c r="Y197" s="145"/>
      <c r="Z197" s="145"/>
      <c r="AA197" s="146"/>
      <c r="AB197" s="146"/>
      <c r="AC197" s="145"/>
      <c r="AD197" s="145"/>
      <c r="AE197" s="146"/>
      <c r="AF197" s="146"/>
      <c r="AG197" s="145"/>
      <c r="AH197" s="146"/>
      <c r="AI197" s="146"/>
      <c r="AJ197" s="146"/>
      <c r="AK197" s="146"/>
    </row>
    <row r="198" spans="2:37">
      <c r="B198" s="146"/>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6"/>
      <c r="Y198" s="145"/>
      <c r="Z198" s="145"/>
      <c r="AA198" s="146"/>
      <c r="AB198" s="146"/>
      <c r="AC198" s="145"/>
      <c r="AD198" s="145"/>
      <c r="AE198" s="146"/>
      <c r="AF198" s="146"/>
      <c r="AG198" s="145"/>
      <c r="AH198" s="146"/>
      <c r="AI198" s="146"/>
      <c r="AJ198" s="146"/>
      <c r="AK198" s="146"/>
    </row>
    <row r="199" spans="2:37">
      <c r="B199" s="146"/>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6"/>
      <c r="Y199" s="145"/>
      <c r="Z199" s="145"/>
      <c r="AA199" s="146"/>
      <c r="AB199" s="146"/>
      <c r="AC199" s="145"/>
      <c r="AD199" s="145"/>
      <c r="AE199" s="146"/>
      <c r="AF199" s="146"/>
      <c r="AG199" s="145"/>
      <c r="AH199" s="146"/>
      <c r="AI199" s="146"/>
      <c r="AJ199" s="146"/>
      <c r="AK199" s="146"/>
    </row>
    <row r="200" spans="2:37">
      <c r="B200" s="146"/>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6"/>
      <c r="Y200" s="145"/>
      <c r="Z200" s="145"/>
      <c r="AA200" s="146"/>
      <c r="AB200" s="146"/>
      <c r="AC200" s="145"/>
      <c r="AD200" s="145"/>
      <c r="AE200" s="146"/>
      <c r="AF200" s="146"/>
      <c r="AG200" s="145"/>
      <c r="AH200" s="146"/>
      <c r="AI200" s="146"/>
      <c r="AJ200" s="146"/>
      <c r="AK200" s="146"/>
    </row>
    <row r="201" spans="2:37">
      <c r="B201" s="146"/>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6"/>
      <c r="Y201" s="145"/>
      <c r="Z201" s="145"/>
      <c r="AA201" s="146"/>
      <c r="AB201" s="146"/>
      <c r="AC201" s="145"/>
      <c r="AD201" s="145"/>
      <c r="AE201" s="146"/>
      <c r="AF201" s="146"/>
      <c r="AG201" s="145"/>
      <c r="AH201" s="146"/>
      <c r="AI201" s="146"/>
      <c r="AJ201" s="146"/>
      <c r="AK201" s="146"/>
    </row>
    <row r="202" spans="2:37">
      <c r="B202" s="146"/>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6"/>
      <c r="Y202" s="145"/>
      <c r="Z202" s="145"/>
      <c r="AA202" s="146"/>
      <c r="AB202" s="146"/>
      <c r="AC202" s="145"/>
      <c r="AD202" s="145"/>
      <c r="AE202" s="146"/>
      <c r="AF202" s="146"/>
      <c r="AG202" s="145"/>
      <c r="AH202" s="146"/>
      <c r="AI202" s="146"/>
      <c r="AJ202" s="146"/>
      <c r="AK202" s="146"/>
    </row>
    <row r="203" spans="2:37">
      <c r="B203" s="146"/>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6"/>
      <c r="Y203" s="145"/>
      <c r="Z203" s="145"/>
      <c r="AA203" s="146"/>
      <c r="AB203" s="146"/>
      <c r="AC203" s="145"/>
      <c r="AD203" s="145"/>
      <c r="AE203" s="146"/>
      <c r="AF203" s="146"/>
      <c r="AG203" s="145"/>
      <c r="AH203" s="146"/>
      <c r="AI203" s="146"/>
      <c r="AJ203" s="146"/>
      <c r="AK203" s="146"/>
    </row>
    <row r="204" spans="2:37">
      <c r="B204" s="146"/>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6"/>
      <c r="Y204" s="145"/>
      <c r="Z204" s="145"/>
      <c r="AA204" s="146"/>
      <c r="AB204" s="146"/>
      <c r="AC204" s="145"/>
      <c r="AD204" s="145"/>
      <c r="AE204" s="146"/>
      <c r="AF204" s="146"/>
      <c r="AG204" s="145"/>
      <c r="AH204" s="146"/>
      <c r="AI204" s="146"/>
      <c r="AJ204" s="146"/>
      <c r="AK204" s="146"/>
    </row>
    <row r="205" spans="2:37">
      <c r="B205" s="146"/>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6"/>
      <c r="Y205" s="145"/>
      <c r="Z205" s="145"/>
      <c r="AA205" s="146"/>
      <c r="AB205" s="146"/>
      <c r="AC205" s="145"/>
      <c r="AD205" s="145"/>
      <c r="AE205" s="146"/>
      <c r="AF205" s="146"/>
      <c r="AG205" s="145"/>
      <c r="AH205" s="146"/>
      <c r="AI205" s="146"/>
      <c r="AJ205" s="146"/>
      <c r="AK205" s="146"/>
    </row>
    <row r="206" spans="2:37">
      <c r="B206" s="146"/>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6"/>
      <c r="Y206" s="145"/>
      <c r="Z206" s="145"/>
      <c r="AA206" s="146"/>
      <c r="AB206" s="146"/>
      <c r="AC206" s="145"/>
      <c r="AD206" s="145"/>
      <c r="AE206" s="146"/>
      <c r="AF206" s="146"/>
      <c r="AG206" s="145"/>
      <c r="AH206" s="146"/>
      <c r="AI206" s="146"/>
      <c r="AJ206" s="146"/>
      <c r="AK206" s="146"/>
    </row>
    <row r="207" spans="2:37">
      <c r="B207" s="146"/>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6"/>
      <c r="Y207" s="145"/>
      <c r="Z207" s="145"/>
      <c r="AA207" s="146"/>
      <c r="AB207" s="146"/>
      <c r="AC207" s="145"/>
      <c r="AD207" s="145"/>
      <c r="AE207" s="146"/>
      <c r="AF207" s="146"/>
      <c r="AG207" s="145"/>
      <c r="AH207" s="146"/>
      <c r="AI207" s="146"/>
      <c r="AJ207" s="146"/>
      <c r="AK207" s="146"/>
    </row>
    <row r="208" spans="2:37">
      <c r="B208" s="146"/>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6"/>
      <c r="Y208" s="145"/>
      <c r="Z208" s="145"/>
      <c r="AA208" s="146"/>
      <c r="AB208" s="146"/>
      <c r="AC208" s="145"/>
      <c r="AD208" s="145"/>
      <c r="AE208" s="146"/>
      <c r="AF208" s="146"/>
      <c r="AG208" s="145"/>
      <c r="AH208" s="146"/>
      <c r="AI208" s="146"/>
      <c r="AJ208" s="146"/>
      <c r="AK208" s="146"/>
    </row>
    <row r="209" spans="2:37">
      <c r="B209" s="146"/>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6"/>
      <c r="Y209" s="145"/>
      <c r="Z209" s="145"/>
      <c r="AA209" s="146"/>
      <c r="AB209" s="146"/>
      <c r="AC209" s="145"/>
      <c r="AD209" s="145"/>
      <c r="AE209" s="146"/>
      <c r="AF209" s="146"/>
      <c r="AG209" s="145"/>
      <c r="AH209" s="146"/>
      <c r="AI209" s="146"/>
      <c r="AJ209" s="146"/>
      <c r="AK209" s="146"/>
    </row>
    <row r="210" spans="2:37">
      <c r="B210" s="146"/>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6"/>
      <c r="Y210" s="145"/>
      <c r="Z210" s="145"/>
      <c r="AA210" s="146"/>
      <c r="AB210" s="146"/>
      <c r="AC210" s="145"/>
      <c r="AD210" s="145"/>
      <c r="AE210" s="146"/>
      <c r="AF210" s="146"/>
      <c r="AG210" s="145"/>
      <c r="AH210" s="146"/>
      <c r="AI210" s="146"/>
      <c r="AJ210" s="146"/>
      <c r="AK210" s="146"/>
    </row>
    <row r="211" spans="2:37">
      <c r="B211" s="146"/>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6"/>
      <c r="Y211" s="145"/>
      <c r="Z211" s="145"/>
      <c r="AA211" s="146"/>
      <c r="AB211" s="146"/>
      <c r="AC211" s="145"/>
      <c r="AD211" s="145"/>
      <c r="AE211" s="146"/>
      <c r="AF211" s="146"/>
      <c r="AG211" s="145"/>
      <c r="AH211" s="146"/>
      <c r="AI211" s="146"/>
      <c r="AJ211" s="146"/>
      <c r="AK211" s="146"/>
    </row>
    <row r="212" spans="2:37">
      <c r="B212" s="146"/>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6"/>
      <c r="Y212" s="145"/>
      <c r="Z212" s="145"/>
      <c r="AA212" s="146"/>
      <c r="AB212" s="146"/>
      <c r="AC212" s="145"/>
      <c r="AD212" s="145"/>
      <c r="AE212" s="146"/>
      <c r="AF212" s="146"/>
      <c r="AG212" s="145"/>
      <c r="AH212" s="146"/>
      <c r="AI212" s="146"/>
      <c r="AJ212" s="146"/>
      <c r="AK212" s="146"/>
    </row>
    <row r="213" spans="2:37">
      <c r="B213" s="146"/>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6"/>
      <c r="Y213" s="145"/>
      <c r="Z213" s="145"/>
      <c r="AA213" s="146"/>
      <c r="AB213" s="146"/>
      <c r="AC213" s="145"/>
      <c r="AD213" s="145"/>
      <c r="AE213" s="146"/>
      <c r="AF213" s="146"/>
      <c r="AG213" s="145"/>
      <c r="AH213" s="146"/>
      <c r="AI213" s="146"/>
      <c r="AJ213" s="146"/>
      <c r="AK213" s="146"/>
    </row>
    <row r="214" spans="2:37">
      <c r="B214" s="146"/>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6"/>
      <c r="Y214" s="145"/>
      <c r="Z214" s="145"/>
      <c r="AA214" s="146"/>
      <c r="AB214" s="146"/>
      <c r="AC214" s="145"/>
      <c r="AD214" s="145"/>
      <c r="AE214" s="146"/>
      <c r="AF214" s="146"/>
      <c r="AG214" s="145"/>
      <c r="AH214" s="146"/>
      <c r="AI214" s="146"/>
      <c r="AJ214" s="146"/>
      <c r="AK214" s="146"/>
    </row>
  </sheetData>
  <sheetProtection formatCells="0" formatColumns="0" formatRows="0" insertColumns="0" insertRows="0" insertHyperlinks="0" deleteColumns="0" deleteRows="0"/>
  <mergeCells count="13">
    <mergeCell ref="V4:X4"/>
    <mergeCell ref="Y8:AA8"/>
    <mergeCell ref="M8:O8"/>
    <mergeCell ref="P8:R8"/>
    <mergeCell ref="S8:U8"/>
    <mergeCell ref="V8:X8"/>
    <mergeCell ref="D8:F8"/>
    <mergeCell ref="G8:I8"/>
    <mergeCell ref="J8:L8"/>
    <mergeCell ref="C1:H1"/>
    <mergeCell ref="B3:I3"/>
    <mergeCell ref="S4:U4"/>
    <mergeCell ref="C6:I6"/>
  </mergeCells>
  <phoneticPr fontId="37" type="noConversion"/>
  <pageMargins left="0.74791666666666667" right="0.74791666666666667" top="0.98402777777777772" bottom="0.98402777777777772" header="0.51180555555555551" footer="0.51180555555555551"/>
  <pageSetup scale="57" firstPageNumber="0" orientation="landscape" horizontalDpi="300" verticalDpi="300"/>
  <headerFooter alignWithMargins="0"/>
  <colBreaks count="2" manualBreakCount="2">
    <brk id="18" max="1048575" man="1"/>
    <brk id="27" max="1048575" man="1"/>
  </colBreaks>
</worksheet>
</file>

<file path=xl/worksheets/sheet7.xml><?xml version="1.0" encoding="utf-8"?>
<worksheet xmlns="http://schemas.openxmlformats.org/spreadsheetml/2006/main" xmlns:r="http://schemas.openxmlformats.org/officeDocument/2006/relationships">
  <sheetPr>
    <tabColor rgb="FF92D050"/>
    <pageSetUpPr fitToPage="1"/>
  </sheetPr>
  <dimension ref="A1:AY99"/>
  <sheetViews>
    <sheetView workbookViewId="0">
      <pane xSplit="1" ySplit="9" topLeftCell="B10" activePane="bottomRight" state="frozen"/>
      <selection pane="topRight" activeCell="B1" sqref="B1"/>
      <selection pane="bottomLeft" activeCell="A10" sqref="A10"/>
      <selection pane="bottomRight" activeCell="J11" sqref="J11:L11"/>
    </sheetView>
  </sheetViews>
  <sheetFormatPr defaultRowHeight="12.75"/>
  <cols>
    <col min="1" max="1" width="4.1640625" customWidth="1"/>
    <col min="2" max="2" width="44.33203125" customWidth="1"/>
    <col min="3" max="3" width="15" customWidth="1"/>
    <col min="4" max="4" width="13.33203125" style="136" customWidth="1"/>
    <col min="5" max="5" width="14.1640625" style="136" customWidth="1"/>
    <col min="6" max="6" width="13" customWidth="1"/>
    <col min="7" max="7" width="12.33203125" customWidth="1"/>
    <col min="8" max="8" width="14.6640625" style="189" customWidth="1"/>
    <col min="9" max="9" width="15" style="189" customWidth="1"/>
    <col min="11" max="11" width="25.1640625" style="137" customWidth="1"/>
  </cols>
  <sheetData>
    <row r="1" spans="1:51" s="57" customFormat="1" ht="15">
      <c r="A1" s="50"/>
      <c r="B1" s="51" t="s">
        <v>443</v>
      </c>
      <c r="C1" s="937" t="str">
        <f>Ogolne!D5</f>
        <v>Bydgoszcz</v>
      </c>
      <c r="D1" s="937"/>
      <c r="E1" s="937"/>
      <c r="F1" s="937"/>
      <c r="G1" s="937"/>
      <c r="H1" s="52"/>
      <c r="I1" s="52"/>
      <c r="J1" s="52"/>
      <c r="K1" s="52"/>
      <c r="L1" s="52"/>
      <c r="M1" s="52"/>
      <c r="N1" s="52"/>
      <c r="O1" s="52"/>
      <c r="P1" s="54"/>
      <c r="Q1" s="52"/>
      <c r="R1" s="52"/>
      <c r="S1" s="52"/>
      <c r="T1" s="52"/>
      <c r="U1" s="52"/>
      <c r="V1" s="52"/>
      <c r="W1" s="52"/>
      <c r="X1" s="52"/>
      <c r="Y1" s="52"/>
      <c r="Z1" s="52"/>
      <c r="AA1" s="52"/>
      <c r="AB1" s="50"/>
      <c r="AC1" s="50"/>
      <c r="AD1" s="50"/>
      <c r="AE1" s="50"/>
      <c r="AF1" s="50"/>
      <c r="AG1" s="50"/>
      <c r="AH1" s="50"/>
      <c r="AI1" s="50"/>
      <c r="AJ1" s="55"/>
      <c r="AK1" s="55"/>
      <c r="AL1" s="55"/>
      <c r="AM1" s="55"/>
      <c r="AN1" s="55"/>
      <c r="AO1" s="55"/>
      <c r="AP1" s="50"/>
      <c r="AQ1" s="56"/>
      <c r="AR1" s="50"/>
      <c r="AS1" s="50"/>
      <c r="AT1" s="50"/>
      <c r="AU1" s="50"/>
      <c r="AV1" s="50"/>
      <c r="AW1" s="50"/>
      <c r="AX1" s="50"/>
      <c r="AY1" s="50"/>
    </row>
    <row r="2" spans="1:51">
      <c r="A2" s="146"/>
      <c r="B2" s="146"/>
      <c r="C2" s="146"/>
      <c r="D2" s="145"/>
      <c r="E2" s="145"/>
      <c r="F2" s="146"/>
      <c r="G2" s="146"/>
      <c r="H2" s="190"/>
      <c r="I2" s="190"/>
      <c r="J2" s="146"/>
      <c r="K2" s="147"/>
      <c r="L2" s="146"/>
      <c r="M2" s="146"/>
      <c r="N2" s="146"/>
      <c r="O2" s="146"/>
      <c r="P2" s="146"/>
    </row>
    <row r="3" spans="1:51" ht="26.25">
      <c r="A3" s="146"/>
      <c r="B3" s="934" t="s">
        <v>446</v>
      </c>
      <c r="C3" s="934"/>
      <c r="D3" s="934"/>
      <c r="E3" s="934"/>
      <c r="F3" s="934"/>
      <c r="G3" s="934"/>
      <c r="H3" s="934"/>
      <c r="I3" s="934"/>
      <c r="J3" s="146"/>
      <c r="K3" s="147"/>
      <c r="L3" s="146"/>
      <c r="M3" s="146"/>
      <c r="N3" s="146"/>
      <c r="O3" s="146"/>
      <c r="P3" s="146"/>
    </row>
    <row r="4" spans="1:51" s="3" customFormat="1" ht="15">
      <c r="A4" s="5"/>
      <c r="B4" s="61" t="s">
        <v>395</v>
      </c>
      <c r="C4" s="62">
        <f>corpyear</f>
        <v>2005</v>
      </c>
      <c r="D4" s="64"/>
      <c r="E4" s="64"/>
      <c r="F4" s="5"/>
      <c r="G4" s="5"/>
      <c r="H4" s="59"/>
      <c r="I4" s="59"/>
      <c r="J4" s="5"/>
      <c r="K4" s="60"/>
      <c r="L4" s="5"/>
      <c r="M4" s="5"/>
      <c r="N4" s="5"/>
      <c r="O4" s="5"/>
      <c r="P4" s="5"/>
    </row>
    <row r="5" spans="1:51">
      <c r="A5" s="146"/>
      <c r="B5" s="152"/>
      <c r="C5" s="152"/>
      <c r="D5" s="151"/>
      <c r="E5" s="151"/>
      <c r="F5" s="146"/>
      <c r="G5" s="146"/>
      <c r="H5" s="190"/>
      <c r="I5" s="190"/>
      <c r="J5" s="146"/>
      <c r="K5" s="147"/>
      <c r="L5" s="146"/>
      <c r="M5" s="146"/>
      <c r="N5" s="146"/>
      <c r="O5" s="146"/>
      <c r="P5" s="146"/>
    </row>
    <row r="6" spans="1:51" s="3" customFormat="1" ht="12.75" customHeight="1">
      <c r="A6" s="5"/>
      <c r="B6" s="66" t="s">
        <v>447</v>
      </c>
      <c r="C6" s="938" t="s">
        <v>460</v>
      </c>
      <c r="D6" s="938"/>
      <c r="E6" s="938"/>
      <c r="F6" s="938"/>
      <c r="G6" s="938"/>
      <c r="H6" s="938"/>
      <c r="I6" s="938"/>
      <c r="J6" s="5"/>
      <c r="K6" s="60"/>
      <c r="L6" s="5"/>
      <c r="M6" s="5"/>
      <c r="N6" s="5"/>
      <c r="O6" s="5"/>
      <c r="P6" s="5"/>
    </row>
    <row r="7" spans="1:51" s="3" customFormat="1" ht="12.75" customHeight="1">
      <c r="A7" s="5"/>
      <c r="B7" s="67"/>
      <c r="C7" s="67"/>
      <c r="D7" s="64"/>
      <c r="E7" s="64"/>
      <c r="F7" s="5"/>
      <c r="G7" s="5"/>
      <c r="H7" s="59"/>
      <c r="I7" s="59"/>
      <c r="J7" s="5"/>
      <c r="K7" s="60"/>
      <c r="L7" s="5"/>
      <c r="M7" s="5"/>
      <c r="N7" s="5"/>
      <c r="O7" s="5"/>
      <c r="P7" s="5"/>
    </row>
    <row r="8" spans="1:51" s="196" customFormat="1" ht="12.75" customHeight="1">
      <c r="A8" s="191"/>
      <c r="B8" s="192"/>
      <c r="C8" s="193"/>
      <c r="D8" s="955" t="s">
        <v>349</v>
      </c>
      <c r="E8" s="955"/>
      <c r="F8" s="955"/>
      <c r="G8" s="194" t="s">
        <v>439</v>
      </c>
      <c r="H8" s="194" t="s">
        <v>439</v>
      </c>
      <c r="I8" s="194" t="s">
        <v>439</v>
      </c>
      <c r="J8" s="191"/>
      <c r="K8" s="195"/>
      <c r="L8" s="191"/>
      <c r="M8" s="191"/>
      <c r="N8" s="191"/>
      <c r="O8" s="191"/>
      <c r="P8" s="191"/>
    </row>
    <row r="9" spans="1:51" s="3" customFormat="1" ht="61.15" customHeight="1">
      <c r="A9" s="5"/>
      <c r="B9" s="822" t="s">
        <v>448</v>
      </c>
      <c r="C9" s="823" t="s">
        <v>365</v>
      </c>
      <c r="D9" s="197" t="s">
        <v>361</v>
      </c>
      <c r="E9" s="198" t="s">
        <v>427</v>
      </c>
      <c r="F9" s="198" t="s">
        <v>428</v>
      </c>
      <c r="G9" s="199" t="s">
        <v>781</v>
      </c>
      <c r="H9" s="200" t="s">
        <v>449</v>
      </c>
      <c r="I9" s="201" t="s">
        <v>450</v>
      </c>
      <c r="J9" s="953" t="s">
        <v>379</v>
      </c>
      <c r="K9" s="953"/>
      <c r="L9" s="953"/>
      <c r="M9" s="5"/>
      <c r="N9" s="5"/>
      <c r="O9" s="5"/>
      <c r="P9" s="5"/>
    </row>
    <row r="10" spans="1:51" s="3" customFormat="1">
      <c r="A10" s="5"/>
      <c r="B10" s="202" t="s">
        <v>241</v>
      </c>
      <c r="C10" s="203" t="s">
        <v>186</v>
      </c>
      <c r="D10" s="129">
        <v>30445</v>
      </c>
      <c r="E10" s="204">
        <v>12318.409999999998</v>
      </c>
      <c r="F10" s="131">
        <f>D10*(HLOOKUP(Ogolne!$D$6,'Wskazniki emisji elektrycznosc'!$B$8:$G$29,Ogolne!$E$7,TRUE))/1000</f>
        <v>29.896989999999999</v>
      </c>
      <c r="G10" s="205">
        <v>44</v>
      </c>
      <c r="H10" s="206">
        <f t="shared" ref="H10:H18" si="0">E10/G10</f>
        <v>279.96386363636361</v>
      </c>
      <c r="I10" s="207">
        <f t="shared" ref="I10:I18" si="1">F10/G10</f>
        <v>0.67947704545454546</v>
      </c>
      <c r="J10" s="954" t="s">
        <v>782</v>
      </c>
      <c r="K10" s="954"/>
      <c r="L10" s="954"/>
      <c r="M10" s="5"/>
      <c r="N10" s="5"/>
      <c r="O10" s="5"/>
      <c r="P10" s="5"/>
    </row>
    <row r="11" spans="1:51" s="3" customFormat="1">
      <c r="A11" s="5"/>
      <c r="B11" s="202" t="s">
        <v>256</v>
      </c>
      <c r="C11" s="203" t="s">
        <v>280</v>
      </c>
      <c r="D11" s="129">
        <v>20842783</v>
      </c>
      <c r="E11" s="204">
        <v>6513433</v>
      </c>
      <c r="F11" s="131">
        <f>D11*(HLOOKUP(Ogolne!$D$6,'Wskazniki emisji elektrycznosc'!$B$8:$G$29,Ogolne!$E$7,TRUE))/1000</f>
        <v>20467.612905999998</v>
      </c>
      <c r="G11" s="205">
        <v>25168</v>
      </c>
      <c r="H11" s="206">
        <f t="shared" si="0"/>
        <v>258.79819612205978</v>
      </c>
      <c r="I11" s="207">
        <f t="shared" si="1"/>
        <v>0.81323954648760322</v>
      </c>
      <c r="J11" s="952"/>
      <c r="K11" s="952"/>
      <c r="L11" s="952"/>
      <c r="M11" s="5"/>
      <c r="N11" s="5"/>
      <c r="O11" s="5"/>
      <c r="P11" s="5"/>
    </row>
    <row r="12" spans="1:51" s="3" customFormat="1">
      <c r="A12" s="5"/>
      <c r="B12" s="202" t="s">
        <v>309</v>
      </c>
      <c r="C12" s="203" t="s">
        <v>280</v>
      </c>
      <c r="D12" s="129">
        <v>753339</v>
      </c>
      <c r="E12" s="204">
        <v>287399</v>
      </c>
      <c r="F12" s="131">
        <f>D12*(HLOOKUP(Ogolne!$D$6,'Wskazniki emisji elektrycznosc'!$B$8:$G$29,Ogolne!$E$7,TRUE))/1000</f>
        <v>739.77889800000003</v>
      </c>
      <c r="G12" s="205">
        <v>92</v>
      </c>
      <c r="H12" s="206">
        <f t="shared" si="0"/>
        <v>3123.9021739130435</v>
      </c>
      <c r="I12" s="207">
        <f t="shared" si="1"/>
        <v>8.0410749782608697</v>
      </c>
      <c r="J12" s="952"/>
      <c r="K12" s="952"/>
      <c r="L12" s="952"/>
      <c r="M12" s="5"/>
      <c r="N12" s="5"/>
      <c r="O12" s="5"/>
      <c r="P12" s="5"/>
    </row>
    <row r="13" spans="1:51" s="3" customFormat="1">
      <c r="A13" s="5"/>
      <c r="B13" s="202"/>
      <c r="C13" s="203"/>
      <c r="D13" s="129"/>
      <c r="E13" s="204"/>
      <c r="F13" s="131">
        <f>D13*(HLOOKUP(Ogolne!$D$6,'Wskazniki emisji elektrycznosc'!$B$8:$G$29,Ogolne!$E$7,TRUE))/1000</f>
        <v>0</v>
      </c>
      <c r="G13" s="205"/>
      <c r="H13" s="206" t="str">
        <f>IFERROR(E13/G13,"")</f>
        <v/>
      </c>
      <c r="I13" s="207" t="str">
        <f>IFERROR(F13/G13,"")</f>
        <v/>
      </c>
      <c r="J13" s="952"/>
      <c r="K13" s="952"/>
      <c r="L13" s="952"/>
      <c r="M13" s="5"/>
      <c r="N13" s="5"/>
      <c r="O13" s="5"/>
      <c r="P13" s="5"/>
    </row>
    <row r="14" spans="1:51" s="3" customFormat="1">
      <c r="A14" s="5"/>
      <c r="B14" s="202"/>
      <c r="C14" s="203"/>
      <c r="D14" s="129"/>
      <c r="E14" s="204"/>
      <c r="F14" s="131">
        <f>D14*(HLOOKUP(Ogolne!$D$6,'Wskazniki emisji elektrycznosc'!$B$8:$G$29,Ogolne!$E$7,TRUE))/1000</f>
        <v>0</v>
      </c>
      <c r="G14" s="205"/>
      <c r="H14" s="206" t="str">
        <f>IFERROR(E14/G14,"")</f>
        <v/>
      </c>
      <c r="I14" s="207" t="str">
        <f>IFERROR(F14/G14,"")</f>
        <v/>
      </c>
      <c r="J14" s="952"/>
      <c r="K14" s="952"/>
      <c r="L14" s="952"/>
      <c r="M14" s="5"/>
      <c r="N14" s="5"/>
      <c r="O14" s="5"/>
      <c r="P14" s="5"/>
    </row>
    <row r="15" spans="1:51" s="3" customFormat="1">
      <c r="A15" s="5"/>
      <c r="B15" s="202"/>
      <c r="C15" s="203"/>
      <c r="D15" s="129"/>
      <c r="E15" s="204"/>
      <c r="F15" s="131">
        <f>D15*(HLOOKUP(Ogolne!$D$6,'Wskazniki emisji elektrycznosc'!$B$8:$G$29,Ogolne!$E$7,TRUE))/1000</f>
        <v>0</v>
      </c>
      <c r="G15" s="205"/>
      <c r="H15" s="206" t="str">
        <f>IFERROR(E15/G15,"")</f>
        <v/>
      </c>
      <c r="I15" s="207" t="str">
        <f>IFERROR(F15/G15,"")</f>
        <v/>
      </c>
      <c r="J15" s="952"/>
      <c r="K15" s="952"/>
      <c r="L15" s="952"/>
      <c r="M15" s="5"/>
      <c r="N15" s="5"/>
      <c r="O15" s="5"/>
      <c r="P15" s="5"/>
    </row>
    <row r="16" spans="1:51" s="3" customFormat="1">
      <c r="A16" s="5"/>
      <c r="B16" s="209"/>
      <c r="C16" s="210"/>
      <c r="D16" s="129"/>
      <c r="E16" s="204"/>
      <c r="F16" s="131">
        <f>D16*(HLOOKUP(Ogolne!$D$6,'Wskazniki emisji elektrycznosc'!$B$8:$G$29,Ogolne!$E$7,TRUE))/1000</f>
        <v>0</v>
      </c>
      <c r="G16" s="205"/>
      <c r="H16" s="206" t="str">
        <f>IFERROR(E16/G16,"")</f>
        <v/>
      </c>
      <c r="I16" s="207" t="str">
        <f>IFERROR(F16/G16,"")</f>
        <v/>
      </c>
      <c r="J16" s="952"/>
      <c r="K16" s="952"/>
      <c r="L16" s="952"/>
      <c r="M16" s="5"/>
      <c r="N16" s="5"/>
      <c r="O16" s="5"/>
      <c r="P16" s="5"/>
    </row>
    <row r="17" spans="1:17" s="3" customFormat="1">
      <c r="A17" s="5"/>
      <c r="B17" s="211" t="s">
        <v>441</v>
      </c>
      <c r="C17" s="212"/>
      <c r="D17" s="213"/>
      <c r="E17" s="214"/>
      <c r="F17" s="215">
        <f>D17*(HLOOKUP(Ogolne!$D$6,'Wskazniki emisji elektrycznosc'!$B$8:$G$29,Ogolne!$E$7,TRUE))/1000</f>
        <v>0</v>
      </c>
      <c r="G17" s="216"/>
      <c r="H17" s="206" t="str">
        <f>IFERROR(E17/G17,"")</f>
        <v/>
      </c>
      <c r="I17" s="207" t="str">
        <f>IFERROR(F17/G17,"")</f>
        <v/>
      </c>
      <c r="J17" s="952"/>
      <c r="K17" s="952"/>
      <c r="L17" s="952"/>
      <c r="M17" s="5"/>
      <c r="N17" s="5"/>
      <c r="O17" s="5"/>
      <c r="P17" s="5"/>
    </row>
    <row r="18" spans="1:17" s="225" customFormat="1">
      <c r="A18" s="30"/>
      <c r="B18" s="217" t="s">
        <v>440</v>
      </c>
      <c r="C18" s="218"/>
      <c r="D18" s="219">
        <f>SUM(D10:D17)</f>
        <v>21626567</v>
      </c>
      <c r="E18" s="220">
        <f>SUM(E10:E17)</f>
        <v>6813150.4100000001</v>
      </c>
      <c r="F18" s="220">
        <f>SUM(F10:F17)</f>
        <v>21237.288794</v>
      </c>
      <c r="G18" s="221">
        <f>SUM(G10:G17)</f>
        <v>25304</v>
      </c>
      <c r="H18" s="222">
        <f t="shared" si="0"/>
        <v>269.25191313626306</v>
      </c>
      <c r="I18" s="223">
        <f t="shared" si="1"/>
        <v>0.83928583599430917</v>
      </c>
      <c r="J18" s="30"/>
      <c r="K18" s="224"/>
      <c r="L18" s="30"/>
      <c r="M18" s="30"/>
      <c r="N18" s="30"/>
      <c r="O18" s="30"/>
      <c r="P18" s="30"/>
    </row>
    <row r="19" spans="1:17" s="225" customFormat="1">
      <c r="A19" s="30"/>
      <c r="B19" s="226"/>
      <c r="C19" s="226"/>
      <c r="D19" s="227"/>
      <c r="E19" s="228"/>
      <c r="F19" s="226"/>
      <c r="G19" s="226"/>
      <c r="H19" s="229"/>
      <c r="I19" s="229"/>
      <c r="J19" s="30"/>
      <c r="K19" s="224"/>
      <c r="L19" s="30"/>
      <c r="M19" s="30"/>
      <c r="N19" s="30"/>
      <c r="O19" s="30"/>
      <c r="P19" s="30"/>
    </row>
    <row r="20" spans="1:17" s="3" customFormat="1">
      <c r="A20" s="5"/>
      <c r="B20" s="5"/>
      <c r="C20" s="5"/>
      <c r="D20" s="53"/>
      <c r="E20" s="53"/>
      <c r="F20" s="5"/>
      <c r="G20" s="5"/>
      <c r="H20" s="59"/>
      <c r="I20" s="59"/>
      <c r="J20" s="5"/>
      <c r="K20" s="60"/>
      <c r="L20" s="5"/>
      <c r="M20" s="5"/>
      <c r="N20" s="5"/>
      <c r="O20" s="5"/>
    </row>
    <row r="21" spans="1:17" s="3" customFormat="1">
      <c r="A21" s="5"/>
      <c r="B21" s="30" t="s">
        <v>451</v>
      </c>
      <c r="C21" s="5"/>
      <c r="D21" s="53"/>
      <c r="E21" s="53"/>
      <c r="F21" s="5"/>
      <c r="G21" s="5"/>
      <c r="H21" s="59"/>
      <c r="I21" s="59"/>
      <c r="J21" s="5"/>
      <c r="K21" s="60"/>
      <c r="L21" s="5"/>
      <c r="M21" s="5"/>
      <c r="N21" s="5"/>
      <c r="O21" s="60"/>
      <c r="P21" s="5"/>
      <c r="Q21" s="5"/>
    </row>
    <row r="22" spans="1:17" s="235" customFormat="1" ht="61.15" customHeight="1">
      <c r="A22" s="195"/>
      <c r="B22" s="230" t="s">
        <v>452</v>
      </c>
      <c r="C22" s="231" t="s">
        <v>365</v>
      </c>
      <c r="D22" s="232" t="s">
        <v>453</v>
      </c>
      <c r="E22" s="232" t="s">
        <v>454</v>
      </c>
      <c r="F22" s="232" t="s">
        <v>455</v>
      </c>
      <c r="G22" s="233" t="s">
        <v>456</v>
      </c>
      <c r="H22" s="234" t="s">
        <v>457</v>
      </c>
      <c r="I22" s="234" t="s">
        <v>458</v>
      </c>
      <c r="J22" s="59"/>
      <c r="K22" s="953" t="s">
        <v>379</v>
      </c>
      <c r="L22" s="953"/>
      <c r="M22" s="953"/>
      <c r="N22" s="195"/>
      <c r="O22" s="195"/>
      <c r="P22" s="195"/>
      <c r="Q22" s="195"/>
    </row>
    <row r="23" spans="1:17" s="3" customFormat="1">
      <c r="A23" s="5"/>
      <c r="B23" s="202"/>
      <c r="C23" s="203"/>
      <c r="D23" s="129"/>
      <c r="E23" s="129"/>
      <c r="F23" s="129"/>
      <c r="G23" s="236">
        <f>D23*E23*F23/1000</f>
        <v>0</v>
      </c>
      <c r="H23" s="237">
        <f>G23*(HLOOKUP(Ogolne!$D$6,'Wskazniki emisji elektrycznosc'!$B$8:$G$29,Ogolne!$E$7,TRUE))/1000</f>
        <v>0</v>
      </c>
      <c r="I23" s="237" t="e">
        <f>H23/D23</f>
        <v>#DIV/0!</v>
      </c>
      <c r="J23" s="59"/>
      <c r="K23" s="952"/>
      <c r="L23" s="952"/>
      <c r="M23" s="952"/>
      <c r="N23" s="5"/>
      <c r="O23" s="5"/>
      <c r="P23" s="5"/>
      <c r="Q23" s="5"/>
    </row>
    <row r="24" spans="1:17" s="3" customFormat="1">
      <c r="A24" s="5"/>
      <c r="B24" s="202"/>
      <c r="C24" s="203"/>
      <c r="D24" s="129"/>
      <c r="E24" s="129"/>
      <c r="F24" s="129"/>
      <c r="G24" s="236">
        <f>D24*E24*F24/1000</f>
        <v>0</v>
      </c>
      <c r="H24" s="237">
        <f>G24*(HLOOKUP(Ogolne!$D$6,'Wskazniki emisji elektrycznosc'!$B$8:$G$29,Ogolne!$E$7,TRUE))/1000</f>
        <v>0</v>
      </c>
      <c r="I24" s="237" t="e">
        <f>H24/D24</f>
        <v>#DIV/0!</v>
      </c>
      <c r="J24" s="59"/>
      <c r="K24" s="952"/>
      <c r="L24" s="952"/>
      <c r="M24" s="952"/>
      <c r="N24" s="5"/>
      <c r="O24" s="5"/>
      <c r="P24" s="5"/>
      <c r="Q24" s="5"/>
    </row>
    <row r="25" spans="1:17" s="3" customFormat="1">
      <c r="A25" s="5"/>
      <c r="B25" s="202"/>
      <c r="C25" s="203"/>
      <c r="D25" s="129"/>
      <c r="E25" s="129"/>
      <c r="F25" s="129"/>
      <c r="G25" s="236">
        <f>D25*E25*F25/1000</f>
        <v>0</v>
      </c>
      <c r="H25" s="237">
        <f>G25*(HLOOKUP(Ogolne!$D$6,'Wskazniki emisji elektrycznosc'!$B$8:$G$29,Ogolne!$E$7,TRUE))/1000</f>
        <v>0</v>
      </c>
      <c r="I25" s="237" t="e">
        <f>H25/D25</f>
        <v>#DIV/0!</v>
      </c>
      <c r="J25" s="59"/>
      <c r="K25" s="952"/>
      <c r="L25" s="952"/>
      <c r="M25" s="952"/>
      <c r="N25" s="5"/>
      <c r="O25" s="5"/>
      <c r="P25" s="5"/>
      <c r="Q25" s="5"/>
    </row>
    <row r="26" spans="1:17" s="3" customFormat="1">
      <c r="A26" s="5"/>
      <c r="B26" s="202"/>
      <c r="C26" s="203"/>
      <c r="D26" s="129"/>
      <c r="E26" s="129"/>
      <c r="F26" s="129"/>
      <c r="G26" s="236">
        <f>D26*E26*F26/1000</f>
        <v>0</v>
      </c>
      <c r="H26" s="237">
        <f>G26*(HLOOKUP(Ogolne!$D$6,'Wskazniki emisji elektrycznosc'!$B$8:$G$29,Ogolne!$E$7,TRUE))/1000</f>
        <v>0</v>
      </c>
      <c r="I26" s="237" t="e">
        <f>H26/D26</f>
        <v>#DIV/0!</v>
      </c>
      <c r="J26" s="59"/>
      <c r="K26" s="952"/>
      <c r="L26" s="952"/>
      <c r="M26" s="952"/>
      <c r="N26" s="5"/>
      <c r="O26" s="5"/>
      <c r="P26" s="5"/>
      <c r="Q26" s="5"/>
    </row>
    <row r="27" spans="1:17" s="3" customFormat="1">
      <c r="A27" s="5"/>
      <c r="B27" s="211" t="s">
        <v>441</v>
      </c>
      <c r="C27" s="238"/>
      <c r="D27" s="213"/>
      <c r="E27" s="213"/>
      <c r="F27" s="213"/>
      <c r="G27" s="236">
        <f>D27*E27*F27/1000</f>
        <v>0</v>
      </c>
      <c r="H27" s="237">
        <f>G27*(HLOOKUP(Ogolne!$D$6,'Wskazniki emisji elektrycznosc'!$B$8:$G$29,Ogolne!$E$7,TRUE))/1000</f>
        <v>0</v>
      </c>
      <c r="I27" s="237" t="e">
        <f>H27/D27</f>
        <v>#DIV/0!</v>
      </c>
      <c r="J27" s="59"/>
      <c r="K27" s="952"/>
      <c r="L27" s="952"/>
      <c r="M27" s="952"/>
      <c r="N27" s="5"/>
      <c r="O27" s="5"/>
      <c r="P27" s="5"/>
      <c r="Q27" s="5"/>
    </row>
    <row r="28" spans="1:17" s="3" customFormat="1">
      <c r="A28" s="5"/>
      <c r="B28" s="217" t="s">
        <v>440</v>
      </c>
      <c r="C28" s="239"/>
      <c r="D28" s="240">
        <f>SUM(D23:D27)</f>
        <v>0</v>
      </c>
      <c r="E28" s="240"/>
      <c r="F28" s="240"/>
      <c r="G28" s="241">
        <f>SUM(G23:G27)</f>
        <v>0</v>
      </c>
      <c r="H28" s="242">
        <f>SUM(H23:H27)</f>
        <v>0</v>
      </c>
      <c r="I28" s="242" t="e">
        <f>SUM(I23:I27)</f>
        <v>#DIV/0!</v>
      </c>
      <c r="J28" s="59"/>
      <c r="K28" s="243" t="s">
        <v>459</v>
      </c>
      <c r="L28" s="208"/>
      <c r="M28" s="208"/>
      <c r="N28" s="5"/>
      <c r="O28" s="5"/>
      <c r="P28" s="5"/>
      <c r="Q28" s="5"/>
    </row>
    <row r="29" spans="1:17" s="3" customFormat="1">
      <c r="A29" s="5"/>
      <c r="B29" s="127"/>
      <c r="C29" s="127"/>
      <c r="D29" s="127"/>
      <c r="E29" s="127"/>
      <c r="F29" s="127"/>
      <c r="G29" s="127"/>
      <c r="H29" s="127"/>
      <c r="I29" s="127"/>
      <c r="J29" s="127"/>
      <c r="K29" s="127"/>
      <c r="L29" s="60"/>
      <c r="M29" s="5"/>
      <c r="N29" s="5"/>
      <c r="O29" s="60"/>
      <c r="P29" s="5"/>
      <c r="Q29" s="5"/>
    </row>
    <row r="30" spans="1:17" s="3" customFormat="1">
      <c r="A30" s="5"/>
      <c r="B30" s="133" t="s">
        <v>392</v>
      </c>
      <c r="C30" s="134">
        <v>1</v>
      </c>
      <c r="D30" s="53"/>
      <c r="E30" s="53"/>
      <c r="F30" s="5"/>
      <c r="G30" s="5"/>
      <c r="H30" s="59"/>
      <c r="I30" s="59"/>
      <c r="J30" s="5"/>
      <c r="K30" s="60"/>
      <c r="L30" s="60"/>
      <c r="M30" s="5"/>
      <c r="N30" s="5"/>
      <c r="O30" s="60"/>
      <c r="P30" s="5"/>
      <c r="Q30" s="5"/>
    </row>
    <row r="31" spans="1:17" s="3" customFormat="1">
      <c r="A31" s="5"/>
      <c r="B31" s="53"/>
      <c r="C31" s="134">
        <v>2</v>
      </c>
      <c r="D31" s="53"/>
      <c r="E31" s="53"/>
      <c r="F31" s="5"/>
      <c r="G31" s="5"/>
      <c r="H31" s="59"/>
      <c r="I31" s="59"/>
      <c r="J31" s="5"/>
      <c r="K31" s="60"/>
      <c r="L31" s="60"/>
      <c r="M31" s="5"/>
      <c r="N31" s="5"/>
      <c r="O31" s="60"/>
      <c r="P31" s="5"/>
      <c r="Q31" s="5"/>
    </row>
    <row r="32" spans="1:17" s="3" customFormat="1">
      <c r="A32" s="5"/>
      <c r="B32" s="53"/>
      <c r="C32" s="134">
        <v>3</v>
      </c>
      <c r="D32" s="53"/>
      <c r="E32" s="53"/>
      <c r="F32" s="5"/>
      <c r="G32" s="5"/>
      <c r="H32" s="59"/>
      <c r="I32" s="59"/>
      <c r="J32" s="5"/>
      <c r="K32" s="60"/>
      <c r="L32" s="60"/>
      <c r="M32" s="5"/>
      <c r="N32" s="5"/>
      <c r="O32" s="60"/>
      <c r="P32" s="5"/>
      <c r="Q32" s="5"/>
    </row>
    <row r="33" spans="1:17" s="3" customFormat="1">
      <c r="A33" s="5"/>
      <c r="B33" s="5"/>
      <c r="C33" s="5"/>
      <c r="D33" s="53"/>
      <c r="E33" s="53"/>
      <c r="F33" s="5"/>
      <c r="G33" s="5"/>
      <c r="H33" s="59"/>
      <c r="I33" s="59"/>
      <c r="J33" s="5"/>
      <c r="K33" s="60"/>
      <c r="L33" s="60"/>
      <c r="M33" s="5"/>
      <c r="N33" s="5"/>
      <c r="O33" s="60"/>
      <c r="P33" s="5"/>
      <c r="Q33" s="5"/>
    </row>
    <row r="34" spans="1:17" s="3" customFormat="1">
      <c r="A34" s="5"/>
      <c r="B34" s="5"/>
      <c r="C34" s="5"/>
      <c r="D34" s="53"/>
      <c r="E34" s="53"/>
      <c r="F34" s="5"/>
      <c r="G34" s="5"/>
      <c r="H34" s="59"/>
      <c r="I34" s="59"/>
      <c r="J34" s="5"/>
      <c r="K34" s="60"/>
      <c r="L34" s="60"/>
      <c r="M34" s="5"/>
      <c r="N34" s="5"/>
      <c r="O34" s="60"/>
      <c r="P34" s="5"/>
      <c r="Q34" s="5"/>
    </row>
    <row r="35" spans="1:17" s="3" customFormat="1">
      <c r="A35" s="5"/>
      <c r="B35" s="5"/>
      <c r="C35" s="5"/>
      <c r="D35" s="53"/>
      <c r="E35" s="53"/>
      <c r="F35" s="5"/>
      <c r="G35" s="5"/>
      <c r="H35" s="59"/>
      <c r="I35" s="59"/>
      <c r="J35" s="5"/>
      <c r="K35" s="60"/>
      <c r="L35" s="60"/>
      <c r="M35" s="5"/>
      <c r="N35" s="5"/>
      <c r="O35" s="224"/>
      <c r="P35" s="30"/>
      <c r="Q35" s="30"/>
    </row>
    <row r="36" spans="1:17" s="3" customFormat="1">
      <c r="A36" s="5"/>
      <c r="B36" s="5"/>
      <c r="C36" s="5"/>
      <c r="D36" s="53"/>
      <c r="E36" s="53"/>
      <c r="F36" s="5"/>
      <c r="G36" s="5"/>
      <c r="H36" s="59"/>
      <c r="I36" s="59"/>
      <c r="J36" s="5"/>
      <c r="K36" s="60"/>
      <c r="L36" s="224"/>
      <c r="M36" s="30"/>
      <c r="N36" s="30"/>
    </row>
    <row r="37" spans="1:17">
      <c r="A37" s="146"/>
      <c r="B37" s="146"/>
      <c r="C37" s="146"/>
      <c r="D37" s="145"/>
      <c r="E37" s="145"/>
      <c r="F37" s="146"/>
      <c r="G37" s="146"/>
      <c r="H37" s="190"/>
      <c r="I37" s="190"/>
      <c r="J37" s="146"/>
      <c r="K37" s="147"/>
    </row>
    <row r="38" spans="1:17">
      <c r="A38" s="146"/>
      <c r="B38" s="146"/>
      <c r="C38" s="146"/>
      <c r="D38" s="145"/>
      <c r="E38" s="145"/>
      <c r="F38" s="146"/>
      <c r="G38" s="146"/>
      <c r="H38" s="190"/>
      <c r="I38" s="190"/>
      <c r="J38" s="146"/>
      <c r="K38" s="147"/>
    </row>
    <row r="39" spans="1:17">
      <c r="A39" s="146"/>
      <c r="B39" s="146"/>
      <c r="C39" s="146"/>
      <c r="D39" s="145"/>
      <c r="E39" s="145"/>
      <c r="F39" s="146"/>
      <c r="G39" s="146"/>
      <c r="H39" s="190"/>
      <c r="I39" s="190"/>
      <c r="J39" s="146"/>
      <c r="K39" s="147"/>
    </row>
    <row r="40" spans="1:17">
      <c r="A40" s="146"/>
      <c r="B40" s="146"/>
      <c r="C40" s="146"/>
      <c r="D40" s="145"/>
      <c r="E40" s="145"/>
      <c r="F40" s="146"/>
      <c r="G40" s="146"/>
      <c r="H40" s="190"/>
      <c r="I40" s="190"/>
      <c r="J40" s="146"/>
      <c r="K40" s="147"/>
    </row>
    <row r="41" spans="1:17">
      <c r="A41" s="146"/>
      <c r="B41" s="146"/>
      <c r="C41" s="146"/>
      <c r="D41" s="145"/>
      <c r="E41" s="145"/>
      <c r="F41" s="146"/>
      <c r="G41" s="146"/>
      <c r="H41" s="190"/>
      <c r="I41" s="190"/>
      <c r="J41" s="146"/>
      <c r="K41" s="147"/>
    </row>
    <row r="42" spans="1:17">
      <c r="A42" s="146"/>
      <c r="B42" s="146"/>
      <c r="C42" s="146"/>
      <c r="D42" s="145"/>
      <c r="E42" s="145"/>
      <c r="F42" s="146"/>
      <c r="G42" s="146"/>
      <c r="H42" s="190"/>
      <c r="I42" s="190"/>
      <c r="J42" s="146"/>
      <c r="K42" s="147"/>
    </row>
    <row r="43" spans="1:17">
      <c r="A43" s="146"/>
      <c r="B43" s="146"/>
      <c r="C43" s="146"/>
      <c r="D43" s="145"/>
      <c r="E43" s="145"/>
      <c r="F43" s="146"/>
      <c r="G43" s="146"/>
      <c r="H43" s="190"/>
      <c r="I43" s="190"/>
      <c r="J43" s="146"/>
      <c r="K43" s="147"/>
    </row>
    <row r="44" spans="1:17">
      <c r="A44" s="146"/>
      <c r="B44" s="146"/>
      <c r="C44" s="146"/>
      <c r="D44" s="145"/>
      <c r="E44" s="145"/>
      <c r="F44" s="146"/>
      <c r="G44" s="146"/>
      <c r="H44" s="190"/>
      <c r="I44" s="190"/>
      <c r="J44" s="146"/>
      <c r="K44" s="147"/>
    </row>
    <row r="45" spans="1:17">
      <c r="A45" s="146"/>
      <c r="B45" s="146"/>
      <c r="C45" s="146"/>
      <c r="D45" s="145"/>
      <c r="E45" s="145"/>
      <c r="F45" s="146"/>
      <c r="G45" s="146"/>
      <c r="H45" s="190"/>
      <c r="I45" s="190"/>
      <c r="J45" s="146"/>
      <c r="K45" s="147"/>
    </row>
    <row r="46" spans="1:17">
      <c r="A46" s="146"/>
      <c r="B46" s="146"/>
      <c r="C46" s="146"/>
      <c r="D46" s="145"/>
      <c r="E46" s="145"/>
      <c r="F46" s="146"/>
      <c r="G46" s="146"/>
      <c r="H46" s="190"/>
      <c r="I46" s="190"/>
      <c r="J46" s="146"/>
      <c r="K46" s="147"/>
    </row>
    <row r="47" spans="1:17">
      <c r="A47" s="146"/>
      <c r="B47" s="146"/>
      <c r="C47" s="146"/>
      <c r="D47" s="145"/>
      <c r="E47" s="145"/>
      <c r="F47" s="146"/>
      <c r="G47" s="146"/>
      <c r="H47" s="190"/>
      <c r="I47" s="190"/>
      <c r="J47" s="146"/>
      <c r="K47" s="147"/>
    </row>
    <row r="48" spans="1:17">
      <c r="A48" s="146"/>
      <c r="B48" s="146"/>
      <c r="C48" s="146"/>
      <c r="D48" s="145"/>
      <c r="E48" s="145"/>
      <c r="F48" s="146"/>
      <c r="G48" s="146"/>
      <c r="H48" s="190"/>
      <c r="I48" s="190"/>
      <c r="J48" s="146"/>
      <c r="K48" s="147"/>
    </row>
    <row r="49" spans="1:11">
      <c r="A49" s="146"/>
      <c r="K49" s="147"/>
    </row>
    <row r="50" spans="1:11">
      <c r="A50" s="146"/>
      <c r="K50" s="147"/>
    </row>
    <row r="51" spans="1:11">
      <c r="A51" s="146"/>
      <c r="K51" s="147"/>
    </row>
    <row r="52" spans="1:11">
      <c r="A52" s="146"/>
      <c r="K52" s="147"/>
    </row>
    <row r="53" spans="1:11">
      <c r="A53" s="146"/>
      <c r="K53" s="147"/>
    </row>
    <row r="54" spans="1:11">
      <c r="A54" s="146"/>
      <c r="K54" s="147"/>
    </row>
    <row r="55" spans="1:11">
      <c r="A55" s="146"/>
      <c r="K55" s="147"/>
    </row>
    <row r="56" spans="1:11">
      <c r="A56" s="146"/>
      <c r="K56" s="147"/>
    </row>
    <row r="57" spans="1:11">
      <c r="A57" s="146"/>
      <c r="K57" s="147"/>
    </row>
    <row r="58" spans="1:11">
      <c r="A58" s="146"/>
      <c r="K58" s="147"/>
    </row>
    <row r="59" spans="1:11">
      <c r="A59" s="146"/>
      <c r="K59" s="147"/>
    </row>
    <row r="60" spans="1:11">
      <c r="A60" s="146"/>
      <c r="K60" s="147"/>
    </row>
    <row r="61" spans="1:11">
      <c r="A61" s="146"/>
      <c r="K61" s="147"/>
    </row>
    <row r="62" spans="1:11">
      <c r="A62" s="146"/>
      <c r="K62" s="147"/>
    </row>
    <row r="63" spans="1:11">
      <c r="A63" s="146"/>
      <c r="K63" s="147"/>
    </row>
    <row r="64" spans="1:11">
      <c r="A64" s="146"/>
      <c r="K64" s="147"/>
    </row>
    <row r="65" spans="1:11">
      <c r="A65" s="146"/>
      <c r="K65" s="147"/>
    </row>
    <row r="66" spans="1:11">
      <c r="A66" s="146"/>
      <c r="K66" s="147"/>
    </row>
    <row r="67" spans="1:11">
      <c r="A67" s="146"/>
      <c r="K67" s="147"/>
    </row>
    <row r="68" spans="1:11">
      <c r="A68" s="146"/>
      <c r="K68" s="147"/>
    </row>
    <row r="69" spans="1:11">
      <c r="A69" s="146"/>
      <c r="K69" s="147"/>
    </row>
    <row r="70" spans="1:11">
      <c r="A70" s="146"/>
      <c r="K70" s="147"/>
    </row>
    <row r="71" spans="1:11">
      <c r="A71" s="146"/>
      <c r="K71" s="147"/>
    </row>
    <row r="72" spans="1:11">
      <c r="A72" s="146"/>
      <c r="K72" s="147"/>
    </row>
    <row r="73" spans="1:11">
      <c r="A73" s="146"/>
      <c r="K73" s="147"/>
    </row>
    <row r="74" spans="1:11">
      <c r="A74" s="146"/>
      <c r="K74" s="147"/>
    </row>
    <row r="75" spans="1:11">
      <c r="A75" s="146"/>
      <c r="K75" s="147"/>
    </row>
    <row r="76" spans="1:11">
      <c r="A76" s="146"/>
      <c r="K76" s="147"/>
    </row>
    <row r="77" spans="1:11">
      <c r="A77" s="146"/>
      <c r="K77" s="147"/>
    </row>
    <row r="78" spans="1:11">
      <c r="A78" s="146"/>
      <c r="K78" s="147"/>
    </row>
    <row r="79" spans="1:11">
      <c r="A79" s="146"/>
      <c r="K79" s="147"/>
    </row>
    <row r="80" spans="1:11">
      <c r="A80" s="146"/>
      <c r="K80" s="147"/>
    </row>
    <row r="81" spans="1:11">
      <c r="A81" s="146"/>
      <c r="K81" s="147"/>
    </row>
    <row r="82" spans="1:11">
      <c r="A82" s="146"/>
      <c r="K82" s="147"/>
    </row>
    <row r="83" spans="1:11">
      <c r="A83" s="146"/>
      <c r="K83" s="147"/>
    </row>
    <row r="84" spans="1:11">
      <c r="A84" s="146"/>
      <c r="K84" s="147"/>
    </row>
    <row r="85" spans="1:11">
      <c r="A85" s="146"/>
      <c r="K85" s="147"/>
    </row>
    <row r="86" spans="1:11">
      <c r="A86" s="146"/>
      <c r="K86" s="147"/>
    </row>
    <row r="87" spans="1:11">
      <c r="A87" s="146"/>
      <c r="K87" s="147"/>
    </row>
    <row r="88" spans="1:11">
      <c r="A88" s="146"/>
      <c r="K88" s="147"/>
    </row>
    <row r="89" spans="1:11">
      <c r="A89" s="146"/>
      <c r="K89" s="147"/>
    </row>
    <row r="90" spans="1:11">
      <c r="A90" s="146"/>
      <c r="K90" s="147"/>
    </row>
    <row r="91" spans="1:11">
      <c r="A91" s="146"/>
      <c r="K91" s="147"/>
    </row>
    <row r="92" spans="1:11">
      <c r="A92" s="146"/>
      <c r="K92" s="147"/>
    </row>
    <row r="93" spans="1:11">
      <c r="A93" s="146"/>
      <c r="K93" s="147"/>
    </row>
    <row r="94" spans="1:11">
      <c r="A94" s="146"/>
    </row>
    <row r="95" spans="1:11">
      <c r="A95" s="146"/>
    </row>
    <row r="96" spans="1:11">
      <c r="A96" s="146"/>
    </row>
    <row r="97" spans="1:1">
      <c r="A97" s="146"/>
    </row>
    <row r="98" spans="1:1">
      <c r="A98" s="146"/>
    </row>
    <row r="99" spans="1:1">
      <c r="A99" s="146"/>
    </row>
  </sheetData>
  <mergeCells count="19">
    <mergeCell ref="C1:G1"/>
    <mergeCell ref="B3:I3"/>
    <mergeCell ref="C6:I6"/>
    <mergeCell ref="D8:F8"/>
    <mergeCell ref="J13:L13"/>
    <mergeCell ref="J14:L14"/>
    <mergeCell ref="J15:L15"/>
    <mergeCell ref="J16:L16"/>
    <mergeCell ref="J9:L9"/>
    <mergeCell ref="J10:L10"/>
    <mergeCell ref="J11:L11"/>
    <mergeCell ref="J12:L12"/>
    <mergeCell ref="K25:M25"/>
    <mergeCell ref="K26:M26"/>
    <mergeCell ref="K27:M27"/>
    <mergeCell ref="J17:L17"/>
    <mergeCell ref="K22:M22"/>
    <mergeCell ref="K23:M23"/>
    <mergeCell ref="K24:M24"/>
  </mergeCells>
  <phoneticPr fontId="37" type="noConversion"/>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sheetPr>
    <tabColor rgb="FF92D050"/>
  </sheetPr>
  <dimension ref="A1:BG149"/>
  <sheetViews>
    <sheetView workbookViewId="0">
      <pane xSplit="1" ySplit="9" topLeftCell="B10" activePane="bottomRight" state="frozen"/>
      <selection pane="topRight" activeCell="B1" sqref="B1"/>
      <selection pane="bottomLeft" activeCell="A10" sqref="A10"/>
      <selection pane="bottomRight" activeCell="AQ14" sqref="AQ14"/>
    </sheetView>
  </sheetViews>
  <sheetFormatPr defaultRowHeight="12.75"/>
  <cols>
    <col min="1" max="1" width="4.1640625" customWidth="1"/>
    <col min="2" max="2" width="55.1640625" customWidth="1"/>
    <col min="3" max="3" width="14.33203125" customWidth="1"/>
    <col min="4" max="4" width="13.5" style="136" customWidth="1"/>
    <col min="5" max="5" width="15.33203125" style="136" customWidth="1"/>
    <col min="6" max="6" width="11.33203125" style="136" customWidth="1"/>
    <col min="7" max="7" width="8.6640625" style="136" customWidth="1"/>
    <col min="8" max="8" width="8.33203125" style="136" customWidth="1"/>
    <col min="9" max="9" width="11.6640625" style="136" customWidth="1"/>
    <col min="10" max="11" width="8.33203125" style="136" customWidth="1"/>
    <col min="12" max="12" width="11.1640625" style="136" customWidth="1"/>
    <col min="13" max="13" width="8.83203125" style="136" customWidth="1"/>
    <col min="14" max="14" width="8.33203125" style="136" customWidth="1"/>
    <col min="15" max="15" width="11.1640625" style="136" customWidth="1"/>
    <col min="16" max="16" width="8" style="136" customWidth="1"/>
    <col min="17" max="17" width="8.33203125" style="136" customWidth="1"/>
    <col min="18" max="18" width="11.6640625" style="136" customWidth="1"/>
    <col min="19" max="19" width="8" style="136" customWidth="1"/>
    <col min="20" max="20" width="15.1640625" style="136" customWidth="1"/>
    <col min="21" max="21" width="11.83203125" style="136" customWidth="1"/>
    <col min="22" max="22" width="8" style="136" customWidth="1"/>
    <col min="23" max="23" width="8.33203125" style="136" customWidth="1"/>
    <col min="24" max="24" width="11.6640625" style="136" customWidth="1"/>
    <col min="25" max="25" width="7.83203125" style="136" customWidth="1"/>
    <col min="26" max="26" width="8.33203125" style="136" customWidth="1"/>
    <col min="27" max="27" width="12.1640625" style="136" customWidth="1"/>
    <col min="28" max="30" width="0" style="136" hidden="1" customWidth="1"/>
    <col min="31" max="31" width="11.1640625" style="136" customWidth="1"/>
    <col min="32" max="32" width="12" style="136" customWidth="1"/>
    <col min="33" max="33" width="12.33203125" style="136" customWidth="1"/>
    <col min="34" max="34" width="11.6640625" style="189" customWidth="1"/>
    <col min="36" max="36" width="12.5" style="137" customWidth="1"/>
    <col min="37" max="37" width="5.1640625" customWidth="1"/>
    <col min="38" max="38" width="36.1640625" customWidth="1"/>
    <col min="40" max="40" width="13.1640625" customWidth="1"/>
    <col min="41" max="41" width="13.33203125" customWidth="1"/>
    <col min="42" max="42" width="12.83203125" customWidth="1"/>
    <col min="43" max="43" width="12.33203125" customWidth="1"/>
    <col min="44" max="44" width="13.6640625" customWidth="1"/>
    <col min="45" max="45" width="30.1640625" customWidth="1"/>
  </cols>
  <sheetData>
    <row r="1" spans="1:59" s="57" customFormat="1" ht="15">
      <c r="A1" s="50"/>
      <c r="B1" s="51" t="s">
        <v>443</v>
      </c>
      <c r="C1" s="937" t="str">
        <f>Ogolne!D5</f>
        <v>Bydgoszcz</v>
      </c>
      <c r="D1" s="937"/>
      <c r="E1" s="937"/>
      <c r="F1" s="937"/>
      <c r="G1" s="937"/>
      <c r="H1" s="52"/>
      <c r="I1" s="52"/>
      <c r="J1" s="52"/>
      <c r="K1" s="52"/>
      <c r="L1" s="52"/>
      <c r="M1" s="52"/>
      <c r="N1" s="52"/>
      <c r="O1" s="52"/>
      <c r="P1" s="52"/>
      <c r="Q1" s="52"/>
      <c r="R1" s="52"/>
      <c r="S1" s="52"/>
      <c r="T1" s="52"/>
      <c r="U1" s="52"/>
      <c r="V1" s="52"/>
      <c r="W1" s="52"/>
      <c r="X1" s="52"/>
      <c r="Y1" s="54"/>
      <c r="Z1" s="52"/>
      <c r="AA1" s="52"/>
      <c r="AB1" s="52"/>
      <c r="AC1" s="52"/>
      <c r="AD1" s="52"/>
      <c r="AE1" s="52"/>
      <c r="AF1" s="52"/>
      <c r="AG1" s="52"/>
      <c r="AH1" s="52"/>
      <c r="AI1" s="52"/>
      <c r="AJ1" s="52"/>
      <c r="AK1" s="52"/>
      <c r="AL1" s="50"/>
      <c r="AM1" s="50"/>
      <c r="AN1" s="50"/>
      <c r="AO1" s="50"/>
      <c r="AP1" s="50"/>
      <c r="AQ1" s="50"/>
      <c r="AR1" s="50"/>
      <c r="AS1" s="55"/>
      <c r="AT1" s="55"/>
      <c r="AU1" s="55"/>
      <c r="AV1" s="55"/>
      <c r="AW1" s="55"/>
      <c r="AX1" s="50"/>
      <c r="AY1" s="56"/>
      <c r="AZ1" s="50"/>
      <c r="BA1" s="50"/>
      <c r="BB1" s="50"/>
      <c r="BC1" s="50"/>
      <c r="BD1" s="50"/>
      <c r="BE1" s="50"/>
      <c r="BF1" s="50"/>
      <c r="BG1" s="50"/>
    </row>
    <row r="2" spans="1:59">
      <c r="A2" s="146"/>
      <c r="B2" s="146"/>
      <c r="C2" s="146"/>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90"/>
      <c r="AI2" s="146"/>
      <c r="AJ2" s="147"/>
      <c r="AK2" s="146"/>
      <c r="AL2" s="146"/>
      <c r="AM2" s="146"/>
      <c r="AN2" s="146"/>
      <c r="AO2" s="146"/>
      <c r="AP2" s="146"/>
      <c r="AQ2" s="146"/>
      <c r="AR2" s="146"/>
    </row>
    <row r="3" spans="1:59" ht="26.25">
      <c r="A3" s="146"/>
      <c r="B3" s="934" t="s">
        <v>461</v>
      </c>
      <c r="C3" s="934"/>
      <c r="D3" s="934"/>
      <c r="E3" s="934"/>
      <c r="F3" s="934"/>
      <c r="G3" s="934"/>
      <c r="H3" s="934"/>
      <c r="I3" s="934"/>
      <c r="J3" s="934"/>
      <c r="K3" s="145"/>
      <c r="L3" s="145"/>
      <c r="M3" s="145"/>
      <c r="N3" s="145"/>
      <c r="O3" s="145"/>
      <c r="P3" s="145"/>
      <c r="Q3" s="145"/>
      <c r="R3" s="145"/>
      <c r="S3" s="145"/>
      <c r="T3" s="145"/>
      <c r="U3" s="145"/>
      <c r="V3" s="145"/>
      <c r="W3" s="145"/>
      <c r="X3" s="145"/>
      <c r="Y3" s="145"/>
      <c r="Z3" s="145"/>
      <c r="AA3" s="145"/>
      <c r="AB3" s="145"/>
      <c r="AC3" s="145"/>
      <c r="AD3" s="145"/>
      <c r="AE3" s="145"/>
      <c r="AF3" s="145"/>
      <c r="AG3" s="145"/>
      <c r="AH3" s="190"/>
      <c r="AI3" s="146"/>
      <c r="AJ3" s="147"/>
      <c r="AK3" s="146"/>
      <c r="AL3" s="146"/>
      <c r="AM3" s="146"/>
      <c r="AN3" s="146"/>
      <c r="AO3" s="146"/>
      <c r="AP3" s="146"/>
      <c r="AQ3" s="146"/>
      <c r="AR3" s="146"/>
    </row>
    <row r="4" spans="1:59" s="3" customFormat="1" ht="15">
      <c r="A4" s="5"/>
      <c r="B4" s="61" t="s">
        <v>395</v>
      </c>
      <c r="C4" s="62">
        <f>corpyear</f>
        <v>2005</v>
      </c>
      <c r="D4" s="64"/>
      <c r="E4" s="64"/>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9"/>
      <c r="AI4" s="5"/>
      <c r="AJ4" s="60"/>
      <c r="AK4" s="5"/>
      <c r="AL4" s="5"/>
      <c r="AM4" s="5"/>
      <c r="AN4" s="5"/>
      <c r="AO4" s="5"/>
      <c r="AP4" s="5"/>
      <c r="AQ4" s="5"/>
      <c r="AR4" s="5"/>
    </row>
    <row r="5" spans="1:59" s="3" customFormat="1">
      <c r="A5" s="5"/>
      <c r="B5" s="67"/>
      <c r="C5" s="67"/>
      <c r="D5" s="64"/>
      <c r="E5" s="64"/>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9"/>
      <c r="AI5" s="5"/>
      <c r="AJ5" s="60"/>
      <c r="AK5" s="5"/>
      <c r="AL5" s="5"/>
      <c r="AM5" s="5"/>
      <c r="AN5" s="5"/>
      <c r="AO5" s="5"/>
      <c r="AP5" s="5"/>
      <c r="AQ5" s="5"/>
      <c r="AR5" s="5"/>
    </row>
    <row r="6" spans="1:59" s="3" customFormat="1" ht="12.75" customHeight="1">
      <c r="A6" s="5"/>
      <c r="B6" s="66" t="s">
        <v>462</v>
      </c>
      <c r="C6" s="938" t="s">
        <v>463</v>
      </c>
      <c r="D6" s="938"/>
      <c r="E6" s="938"/>
      <c r="F6" s="938"/>
      <c r="G6" s="938"/>
      <c r="H6" s="938"/>
      <c r="I6" s="938"/>
      <c r="J6" s="938"/>
      <c r="K6" s="53"/>
      <c r="L6" s="53"/>
      <c r="M6" s="53"/>
      <c r="N6" s="53"/>
      <c r="O6" s="53"/>
      <c r="P6" s="53"/>
      <c r="Q6" s="53"/>
      <c r="R6" s="53"/>
      <c r="S6" s="53"/>
      <c r="T6" s="53"/>
      <c r="U6" s="53"/>
      <c r="V6" s="53"/>
      <c r="W6" s="53"/>
      <c r="X6" s="53"/>
      <c r="Y6" s="53"/>
      <c r="Z6" s="53"/>
      <c r="AA6" s="53"/>
      <c r="AB6" s="53"/>
      <c r="AC6" s="53"/>
      <c r="AD6" s="53"/>
      <c r="AE6" s="53"/>
      <c r="AF6" s="53"/>
      <c r="AG6" s="53"/>
      <c r="AH6" s="59"/>
      <c r="AI6" s="5"/>
      <c r="AJ6" s="60"/>
      <c r="AK6" s="5"/>
      <c r="AL6" s="5"/>
      <c r="AM6" s="5"/>
      <c r="AN6" s="5"/>
      <c r="AO6" s="5"/>
      <c r="AP6" s="5"/>
      <c r="AQ6" s="5"/>
      <c r="AR6" s="5"/>
    </row>
    <row r="7" spans="1:59" s="3" customFormat="1" ht="12.75" customHeight="1" thickBot="1">
      <c r="A7" s="5"/>
      <c r="B7" s="67"/>
      <c r="C7" s="67"/>
      <c r="D7" s="64"/>
      <c r="E7" s="64"/>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9"/>
      <c r="AI7" s="5"/>
      <c r="AJ7" s="60"/>
      <c r="AK7" s="5"/>
      <c r="AL7" s="5"/>
      <c r="AM7" s="5"/>
      <c r="AN7" s="5"/>
      <c r="AO7" s="5"/>
      <c r="AP7" s="5"/>
      <c r="AQ7" s="5"/>
      <c r="AR7" s="5"/>
    </row>
    <row r="8" spans="1:59" s="78" customFormat="1">
      <c r="A8" s="71"/>
      <c r="B8" s="244"/>
      <c r="C8" s="245"/>
      <c r="D8" s="943" t="s">
        <v>349</v>
      </c>
      <c r="E8" s="944"/>
      <c r="F8" s="945"/>
      <c r="G8" s="943" t="s">
        <v>350</v>
      </c>
      <c r="H8" s="944"/>
      <c r="I8" s="945"/>
      <c r="J8" s="943" t="s">
        <v>398</v>
      </c>
      <c r="K8" s="944"/>
      <c r="L8" s="945"/>
      <c r="M8" s="943" t="s">
        <v>359</v>
      </c>
      <c r="N8" s="944"/>
      <c r="O8" s="946"/>
      <c r="P8" s="940" t="s">
        <v>464</v>
      </c>
      <c r="Q8" s="940"/>
      <c r="R8" s="940"/>
      <c r="S8" s="940" t="s">
        <v>354</v>
      </c>
      <c r="T8" s="940"/>
      <c r="U8" s="940"/>
      <c r="V8" s="940" t="s">
        <v>355</v>
      </c>
      <c r="W8" s="940"/>
      <c r="X8" s="940"/>
      <c r="Y8" s="940" t="s">
        <v>358</v>
      </c>
      <c r="Z8" s="940"/>
      <c r="AA8" s="940"/>
      <c r="AB8" s="940"/>
      <c r="AC8" s="940"/>
      <c r="AD8" s="940"/>
      <c r="AE8" s="940" t="s">
        <v>465</v>
      </c>
      <c r="AF8" s="940"/>
      <c r="AG8" s="940"/>
      <c r="AH8" s="940" t="s">
        <v>415</v>
      </c>
      <c r="AI8" s="940"/>
      <c r="AJ8" s="940"/>
      <c r="AK8" s="53"/>
      <c r="AL8" s="246"/>
      <c r="AM8" s="245"/>
      <c r="AN8" s="247" t="s">
        <v>472</v>
      </c>
      <c r="AO8" s="248" t="s">
        <v>494</v>
      </c>
      <c r="AP8" s="248" t="s">
        <v>494</v>
      </c>
      <c r="AQ8" s="249" t="s">
        <v>439</v>
      </c>
      <c r="AR8" s="250" t="s">
        <v>439</v>
      </c>
      <c r="AS8" s="77"/>
      <c r="AT8" s="71"/>
      <c r="AU8" s="71"/>
      <c r="AV8" s="71"/>
      <c r="AW8" s="71"/>
      <c r="AX8" s="71"/>
      <c r="AY8" s="71"/>
      <c r="AZ8" s="71"/>
      <c r="BA8" s="71"/>
      <c r="BB8" s="71"/>
    </row>
    <row r="9" spans="1:59" s="256" customFormat="1" ht="72">
      <c r="A9" s="251"/>
      <c r="B9" s="824" t="s">
        <v>466</v>
      </c>
      <c r="C9" s="825" t="s">
        <v>365</v>
      </c>
      <c r="D9" s="80" t="s">
        <v>361</v>
      </c>
      <c r="E9" s="80" t="s">
        <v>467</v>
      </c>
      <c r="F9" s="80" t="s">
        <v>468</v>
      </c>
      <c r="G9" s="80" t="s">
        <v>362</v>
      </c>
      <c r="H9" s="80" t="s">
        <v>467</v>
      </c>
      <c r="I9" s="80" t="s">
        <v>468</v>
      </c>
      <c r="J9" s="80" t="s">
        <v>362</v>
      </c>
      <c r="K9" s="80" t="s">
        <v>467</v>
      </c>
      <c r="L9" s="80" t="s">
        <v>468</v>
      </c>
      <c r="M9" s="80" t="s">
        <v>470</v>
      </c>
      <c r="N9" s="80" t="s">
        <v>467</v>
      </c>
      <c r="O9" s="80" t="s">
        <v>468</v>
      </c>
      <c r="P9" s="80" t="s">
        <v>362</v>
      </c>
      <c r="Q9" s="80" t="s">
        <v>467</v>
      </c>
      <c r="R9" s="80" t="s">
        <v>468</v>
      </c>
      <c r="S9" s="80" t="s">
        <v>471</v>
      </c>
      <c r="T9" s="80" t="s">
        <v>467</v>
      </c>
      <c r="U9" s="80" t="s">
        <v>468</v>
      </c>
      <c r="V9" s="80" t="s">
        <v>471</v>
      </c>
      <c r="W9" s="80" t="s">
        <v>467</v>
      </c>
      <c r="X9" s="80" t="s">
        <v>468</v>
      </c>
      <c r="Y9" s="80" t="s">
        <v>471</v>
      </c>
      <c r="Z9" s="80" t="s">
        <v>467</v>
      </c>
      <c r="AA9" s="80" t="s">
        <v>468</v>
      </c>
      <c r="AB9"/>
      <c r="AC9"/>
      <c r="AD9"/>
      <c r="AE9" s="80" t="s">
        <v>363</v>
      </c>
      <c r="AF9" s="80" t="s">
        <v>467</v>
      </c>
      <c r="AG9" s="80" t="s">
        <v>468</v>
      </c>
      <c r="AH9" s="80" t="s">
        <v>363</v>
      </c>
      <c r="AI9" s="80" t="s">
        <v>467</v>
      </c>
      <c r="AJ9" s="80" t="s">
        <v>468</v>
      </c>
      <c r="AK9" s="252"/>
      <c r="AL9" s="91" t="str">
        <f t="shared" ref="AL9:AL17" si="0">B9</f>
        <v>Zakład/Urządzenie/grupa urządzeń</v>
      </c>
      <c r="AM9" s="84" t="s">
        <v>365</v>
      </c>
      <c r="AN9" s="253" t="s">
        <v>473</v>
      </c>
      <c r="AO9" s="254" t="s">
        <v>427</v>
      </c>
      <c r="AP9" s="81" t="s">
        <v>429</v>
      </c>
      <c r="AQ9" s="255" t="s">
        <v>474</v>
      </c>
      <c r="AR9" s="87" t="s">
        <v>475</v>
      </c>
      <c r="AS9" s="88" t="s">
        <v>379</v>
      </c>
      <c r="AT9" s="251"/>
      <c r="AU9" s="251"/>
      <c r="AV9" s="251"/>
      <c r="AW9" s="251"/>
      <c r="AX9" s="251"/>
      <c r="AY9" s="251"/>
      <c r="AZ9" s="251"/>
      <c r="BA9" s="251"/>
      <c r="BB9" s="251"/>
    </row>
    <row r="10" spans="1:59" s="101" customFormat="1">
      <c r="A10" s="90"/>
      <c r="B10" s="91" t="s">
        <v>223</v>
      </c>
      <c r="C10" s="92" t="s">
        <v>195</v>
      </c>
      <c r="D10" s="93">
        <v>12474586</v>
      </c>
      <c r="E10" s="94">
        <v>3563813.1260000002</v>
      </c>
      <c r="F10" s="95">
        <f>D10*(HLOOKUP(Ogolne!$D$6,'Wskazniki emisji elektrycznosc'!$B$8:$G$29,Ogolne!$E$7,TRUE))/1000</f>
        <v>12250.043452</v>
      </c>
      <c r="G10" s="737">
        <v>282</v>
      </c>
      <c r="H10" s="738">
        <v>456.48740000000004</v>
      </c>
      <c r="I10" s="95">
        <f>G10*'Wskazniki emisji paliw'!M$26</f>
        <v>2.045148504571964</v>
      </c>
      <c r="J10" s="93"/>
      <c r="K10" s="94"/>
      <c r="L10" s="95">
        <f>J10*'Wskazniki emisji paliw'!M$27</f>
        <v>0</v>
      </c>
      <c r="M10" s="93">
        <v>2461</v>
      </c>
      <c r="N10" s="94">
        <v>106418.1112</v>
      </c>
      <c r="O10" s="95">
        <f>M10*'Wskazniki emisji paliw'!K$35</f>
        <v>797.36400000000003</v>
      </c>
      <c r="P10" s="93"/>
      <c r="Q10" s="94"/>
      <c r="R10" s="95">
        <f>P10*'Wskazniki emisji paliw'!M$29</f>
        <v>0</v>
      </c>
      <c r="S10" s="93">
        <v>590</v>
      </c>
      <c r="T10" s="94">
        <v>205814</v>
      </c>
      <c r="U10" s="95">
        <f>S10*'Wskazniki emisji paliw'!N$10</f>
        <v>1413.1207999999999</v>
      </c>
      <c r="V10" s="93"/>
      <c r="W10" s="94"/>
      <c r="X10" s="95">
        <f>V10*'Wskazniki emisji paliw'!N$11</f>
        <v>0</v>
      </c>
      <c r="Y10" s="93"/>
      <c r="Z10" s="94"/>
      <c r="AA10" s="95">
        <f>Y10*'Wskazniki emisji paliw'!N$13</f>
        <v>0</v>
      </c>
      <c r="AB10"/>
      <c r="AC10"/>
      <c r="AD10"/>
      <c r="AE10" s="93"/>
      <c r="AF10" s="94"/>
      <c r="AG10" s="95">
        <f>AE10*'Wskazniki emisji paliw'!L$17</f>
        <v>0</v>
      </c>
      <c r="AH10" s="93"/>
      <c r="AI10" s="94"/>
      <c r="AJ10" s="95">
        <f>AH10*'Wskazniki emisji paliw'!L$18</f>
        <v>0</v>
      </c>
      <c r="AK10" s="53"/>
      <c r="AL10" s="91" t="str">
        <f t="shared" si="0"/>
        <v>Miejskie Wodociągi i Kanalizacja - Ujęcia wody</v>
      </c>
      <c r="AM10" s="91" t="str">
        <f t="shared" ref="AM10:AM17" si="1">C10</f>
        <v>MWIK</v>
      </c>
      <c r="AN10" s="257">
        <v>22620.708999999999</v>
      </c>
      <c r="AO10" s="258">
        <f t="shared" ref="AO10:AP17" si="2">E10+H10+K10+N10+Q10+T10+W10+Z10+AF10+AI10</f>
        <v>3876501.7246000003</v>
      </c>
      <c r="AP10" s="259">
        <f t="shared" si="2"/>
        <v>14462.573400504572</v>
      </c>
      <c r="AQ10" s="260">
        <f t="shared" ref="AQ10:AQ17" si="3">AO10/(AN10)</f>
        <v>171.36959432173416</v>
      </c>
      <c r="AR10" s="99">
        <f t="shared" ref="AR10:AR17" si="4">AP10/(AN10)</f>
        <v>0.63935102124803311</v>
      </c>
      <c r="AS10" s="100"/>
      <c r="AT10" s="90"/>
      <c r="AU10" s="90"/>
      <c r="AV10" s="90"/>
      <c r="AW10" s="90"/>
      <c r="AX10" s="90"/>
      <c r="AY10" s="90"/>
      <c r="AZ10" s="90"/>
      <c r="BA10" s="90"/>
      <c r="BB10" s="90"/>
    </row>
    <row r="11" spans="1:59" s="101" customFormat="1">
      <c r="A11" s="90"/>
      <c r="B11" s="91" t="s">
        <v>224</v>
      </c>
      <c r="C11" s="92" t="s">
        <v>195</v>
      </c>
      <c r="D11" s="93">
        <f>4400006+845013</f>
        <v>5245019</v>
      </c>
      <c r="E11" s="94">
        <v>1363300.0044</v>
      </c>
      <c r="F11" s="95">
        <f>D11*(HLOOKUP(Ogolne!$D$6,'Wskazniki emisji elektrycznosc'!$B$8:$G$29,Ogolne!$E$7,TRUE))/1000</f>
        <v>5150.6086580000001</v>
      </c>
      <c r="G11" s="93"/>
      <c r="H11" s="94"/>
      <c r="I11" s="95">
        <f>G11*'Wskazniki emisji paliw'!M$26</f>
        <v>0</v>
      </c>
      <c r="J11" s="93"/>
      <c r="K11" s="94"/>
      <c r="L11" s="95">
        <f>J11*'Wskazniki emisji paliw'!M$27</f>
        <v>0</v>
      </c>
      <c r="M11" s="93"/>
      <c r="N11" s="94"/>
      <c r="O11" s="95">
        <f>M11*'Wskazniki emisji paliw'!K$35</f>
        <v>0</v>
      </c>
      <c r="P11" s="93"/>
      <c r="Q11" s="94"/>
      <c r="R11" s="95">
        <f>P11*'Wskazniki emisji paliw'!M$29</f>
        <v>0</v>
      </c>
      <c r="S11" s="93">
        <v>23.8</v>
      </c>
      <c r="T11" s="94">
        <v>9638</v>
      </c>
      <c r="U11" s="95">
        <f>S11*'Wskazniki emisji paliw'!N$10</f>
        <v>57.003855999999999</v>
      </c>
      <c r="V11" s="93"/>
      <c r="W11" s="94"/>
      <c r="X11" s="95">
        <f>V11*'Wskazniki emisji paliw'!N$11</f>
        <v>0</v>
      </c>
      <c r="Y11" s="93"/>
      <c r="Z11" s="94"/>
      <c r="AA11" s="95">
        <f>Y11*'Wskazniki emisji paliw'!N$13</f>
        <v>0</v>
      </c>
      <c r="AB11"/>
      <c r="AC11"/>
      <c r="AD11"/>
      <c r="AE11" s="93"/>
      <c r="AF11" s="94"/>
      <c r="AG11" s="95">
        <f>AE11*'Wskazniki emisji paliw'!L$17</f>
        <v>0</v>
      </c>
      <c r="AH11" s="93"/>
      <c r="AI11" s="94"/>
      <c r="AJ11" s="95">
        <f>AH11*'Wskazniki emisji paliw'!L$18</f>
        <v>0</v>
      </c>
      <c r="AK11" s="53"/>
      <c r="AL11" s="91" t="str">
        <f t="shared" si="0"/>
        <v>Miejskie Wodociągi i Kanalizacja - Oczyszczalnie ścieków</v>
      </c>
      <c r="AM11" s="91" t="str">
        <f t="shared" si="1"/>
        <v>MWIK</v>
      </c>
      <c r="AN11" s="257">
        <v>16608.101999999999</v>
      </c>
      <c r="AO11" s="258">
        <f t="shared" si="2"/>
        <v>1372938.0044</v>
      </c>
      <c r="AP11" s="259">
        <f t="shared" si="2"/>
        <v>5207.6125140000004</v>
      </c>
      <c r="AQ11" s="260">
        <f t="shared" si="3"/>
        <v>82.666761343349165</v>
      </c>
      <c r="AR11" s="99">
        <f t="shared" si="4"/>
        <v>0.31355855798573495</v>
      </c>
      <c r="AS11" s="100" t="s">
        <v>235</v>
      </c>
      <c r="AT11" s="90"/>
      <c r="AU11" s="90"/>
      <c r="AV11" s="90"/>
      <c r="AW11" s="90"/>
      <c r="AX11" s="90"/>
      <c r="AY11" s="90"/>
      <c r="AZ11" s="90"/>
      <c r="BA11" s="90"/>
      <c r="BB11" s="90"/>
    </row>
    <row r="12" spans="1:59" s="101" customFormat="1">
      <c r="A12" s="90"/>
      <c r="B12" s="91" t="s">
        <v>225</v>
      </c>
      <c r="C12" s="92" t="s">
        <v>195</v>
      </c>
      <c r="D12" s="93">
        <v>994256</v>
      </c>
      <c r="E12" s="94">
        <v>340636.73680000001</v>
      </c>
      <c r="F12" s="95">
        <f>D12*(HLOOKUP(Ogolne!$D$6,'Wskazniki emisji elektrycznosc'!$B$8:$G$29,Ogolne!$E$7,TRUE))/1000</f>
        <v>976.35939199999996</v>
      </c>
      <c r="G12" s="93"/>
      <c r="H12" s="94"/>
      <c r="I12" s="95">
        <f>G12*'Wskazniki emisji paliw'!M$26</f>
        <v>0</v>
      </c>
      <c r="J12" s="93"/>
      <c r="K12" s="94"/>
      <c r="L12" s="95">
        <f>J12*'Wskazniki emisji paliw'!M$27</f>
        <v>0</v>
      </c>
      <c r="M12" s="93">
        <v>878.6</v>
      </c>
      <c r="N12" s="94">
        <v>51038.529199999997</v>
      </c>
      <c r="O12" s="95">
        <f>M12*'Wskazniki emisji paliw'!K$35</f>
        <v>284.66640000000001</v>
      </c>
      <c r="P12" s="93"/>
      <c r="Q12" s="94"/>
      <c r="R12" s="95">
        <f>P12*'Wskazniki emisji paliw'!M$29</f>
        <v>0</v>
      </c>
      <c r="S12" s="93"/>
      <c r="T12" s="94"/>
      <c r="U12" s="95">
        <f>S12*'Wskazniki emisji paliw'!N$10</f>
        <v>0</v>
      </c>
      <c r="V12" s="93"/>
      <c r="W12" s="94"/>
      <c r="X12" s="95">
        <f>V12*'Wskazniki emisji paliw'!N$11</f>
        <v>0</v>
      </c>
      <c r="Y12" s="93"/>
      <c r="Z12" s="94"/>
      <c r="AA12" s="95">
        <f>Y12*'Wskazniki emisji paliw'!N$13</f>
        <v>0</v>
      </c>
      <c r="AB12"/>
      <c r="AC12"/>
      <c r="AD12"/>
      <c r="AE12" s="93"/>
      <c r="AF12" s="94"/>
      <c r="AG12" s="95">
        <f>AE12*'Wskazniki emisji paliw'!L$17</f>
        <v>0</v>
      </c>
      <c r="AH12" s="93"/>
      <c r="AI12" s="94"/>
      <c r="AJ12" s="95">
        <f>AH12*'Wskazniki emisji paliw'!L$18</f>
        <v>0</v>
      </c>
      <c r="AK12" s="53"/>
      <c r="AL12" s="91" t="str">
        <f t="shared" si="0"/>
        <v>Miejskie Wodociągi i Kanalizacja - Hydrofornie</v>
      </c>
      <c r="AM12" s="91" t="str">
        <f t="shared" si="1"/>
        <v>MWIK</v>
      </c>
      <c r="AN12" s="257">
        <v>9077.021999999999</v>
      </c>
      <c r="AO12" s="258">
        <f t="shared" si="2"/>
        <v>391675.266</v>
      </c>
      <c r="AP12" s="259">
        <f t="shared" si="2"/>
        <v>1261.0257919999999</v>
      </c>
      <c r="AQ12" s="260">
        <f t="shared" si="3"/>
        <v>43.150194634319497</v>
      </c>
      <c r="AR12" s="99">
        <f t="shared" si="4"/>
        <v>0.13892505625743773</v>
      </c>
      <c r="AS12" s="100"/>
      <c r="AT12" s="90"/>
      <c r="AU12" s="90"/>
      <c r="AV12" s="90"/>
      <c r="AW12" s="90"/>
      <c r="AX12" s="90"/>
      <c r="AY12" s="90"/>
      <c r="AZ12" s="90"/>
      <c r="BA12" s="90"/>
      <c r="BB12" s="90"/>
    </row>
    <row r="13" spans="1:59" s="101" customFormat="1">
      <c r="A13" s="90"/>
      <c r="B13" s="734" t="s">
        <v>226</v>
      </c>
      <c r="C13" s="735" t="s">
        <v>202</v>
      </c>
      <c r="D13" s="93">
        <f>402800*0.5</f>
        <v>201400</v>
      </c>
      <c r="E13" s="94">
        <f>133142*0.5</f>
        <v>66571</v>
      </c>
      <c r="F13" s="95">
        <f>D13*(HLOOKUP(Ogolne!$D$6,'Wskazniki emisji elektrycznosc'!$B$8:$G$29,Ogolne!$E$7,TRUE))/1000</f>
        <v>197.7748</v>
      </c>
      <c r="G13" s="93"/>
      <c r="H13" s="94"/>
      <c r="I13" s="95">
        <f>G13*'Wskazniki emisji paliw'!M$26</f>
        <v>0</v>
      </c>
      <c r="J13" s="93"/>
      <c r="K13" s="94"/>
      <c r="L13" s="95">
        <f>J13*'Wskazniki emisji paliw'!M$27</f>
        <v>0</v>
      </c>
      <c r="M13" s="93"/>
      <c r="N13" s="94"/>
      <c r="O13" s="95">
        <f>M13*'Wskazniki emisji paliw'!K$35</f>
        <v>0</v>
      </c>
      <c r="P13" s="93"/>
      <c r="Q13" s="94"/>
      <c r="R13" s="95">
        <f>P13*'Wskazniki emisji paliw'!M$29</f>
        <v>0</v>
      </c>
      <c r="S13" s="93"/>
      <c r="T13" s="94"/>
      <c r="U13" s="95">
        <f>S13*'Wskazniki emisji paliw'!N$10</f>
        <v>0</v>
      </c>
      <c r="V13" s="93"/>
      <c r="W13" s="94"/>
      <c r="X13" s="95">
        <f>V13*'Wskazniki emisji paliw'!N$11</f>
        <v>0</v>
      </c>
      <c r="Y13" s="93"/>
      <c r="Z13" s="94"/>
      <c r="AA13" s="95">
        <f>Y13*'Wskazniki emisji paliw'!N$13</f>
        <v>0</v>
      </c>
      <c r="AB13"/>
      <c r="AC13"/>
      <c r="AD13"/>
      <c r="AE13" s="93"/>
      <c r="AF13" s="94"/>
      <c r="AG13" s="95">
        <f>AE13*'Wskazniki emisji paliw'!L$17</f>
        <v>0</v>
      </c>
      <c r="AH13" s="93"/>
      <c r="AI13" s="94"/>
      <c r="AJ13" s="95">
        <f>AH13*'Wskazniki emisji paliw'!L$18</f>
        <v>0</v>
      </c>
      <c r="AK13" s="53"/>
      <c r="AL13" s="91" t="str">
        <f t="shared" si="0"/>
        <v>Spółka Wodna "Kapuściska"</v>
      </c>
      <c r="AM13" s="91" t="str">
        <f t="shared" si="1"/>
        <v>SWK</v>
      </c>
      <c r="AN13" s="257">
        <v>5770720</v>
      </c>
      <c r="AO13" s="258">
        <v>133142</v>
      </c>
      <c r="AP13" s="259">
        <f t="shared" si="2"/>
        <v>197.7748</v>
      </c>
      <c r="AQ13" s="260">
        <f t="shared" si="3"/>
        <v>2.3071991016718883E-2</v>
      </c>
      <c r="AR13" s="99">
        <f t="shared" si="4"/>
        <v>3.4272118557129784E-5</v>
      </c>
      <c r="AS13" s="100" t="s">
        <v>227</v>
      </c>
      <c r="AT13" s="90"/>
      <c r="AU13" s="90"/>
      <c r="AV13" s="90"/>
      <c r="AW13" s="90"/>
      <c r="AX13" s="90"/>
      <c r="AY13" s="90"/>
      <c r="AZ13" s="90"/>
      <c r="BA13" s="90"/>
      <c r="BB13" s="90"/>
    </row>
    <row r="14" spans="1:59" s="101" customFormat="1">
      <c r="A14" s="90"/>
      <c r="B14" s="91" t="s">
        <v>310</v>
      </c>
      <c r="C14" s="92" t="s">
        <v>195</v>
      </c>
      <c r="D14" s="93">
        <v>423263</v>
      </c>
      <c r="E14" s="94">
        <v>180009</v>
      </c>
      <c r="F14" s="95">
        <f>D14*(HLOOKUP(Ogolne!$D$6,'Wskazniki emisji elektrycznosc'!$B$8:$G$29,Ogolne!$E$7,TRUE))/1000</f>
        <v>415.64426600000002</v>
      </c>
      <c r="G14" s="93">
        <v>23047</v>
      </c>
      <c r="H14" s="94">
        <v>28600.32</v>
      </c>
      <c r="I14" s="95">
        <f>G14*'Wskazniki emisji paliw'!M$26</f>
        <v>167.14375030095763</v>
      </c>
      <c r="J14" s="93"/>
      <c r="K14" s="94"/>
      <c r="L14" s="95">
        <f>J14*'Wskazniki emisji paliw'!M$27</f>
        <v>0</v>
      </c>
      <c r="M14" s="93">
        <v>2872</v>
      </c>
      <c r="N14" s="94">
        <v>439533</v>
      </c>
      <c r="O14" s="95">
        <f>M14*'Wskazniki emisji paliw'!K$35</f>
        <v>930.52800000000002</v>
      </c>
      <c r="P14" s="93"/>
      <c r="Q14" s="94"/>
      <c r="R14" s="95">
        <f>P14*'Wskazniki emisji paliw'!M$29</f>
        <v>0</v>
      </c>
      <c r="S14" s="93"/>
      <c r="T14" s="94"/>
      <c r="U14" s="95">
        <f>S14*'Wskazniki emisji paliw'!N$10</f>
        <v>0</v>
      </c>
      <c r="V14" s="93"/>
      <c r="W14" s="94"/>
      <c r="X14" s="95">
        <f>V14*'Wskazniki emisji paliw'!N$11</f>
        <v>0</v>
      </c>
      <c r="Y14" s="93"/>
      <c r="Z14" s="94"/>
      <c r="AA14" s="95">
        <f>Y14*'Wskazniki emisji paliw'!N$13</f>
        <v>0</v>
      </c>
      <c r="AB14"/>
      <c r="AC14"/>
      <c r="AD14"/>
      <c r="AE14" s="93"/>
      <c r="AF14" s="94"/>
      <c r="AG14" s="95">
        <f>AE14*'Wskazniki emisji paliw'!L$17</f>
        <v>0</v>
      </c>
      <c r="AH14" s="93"/>
      <c r="AI14" s="94"/>
      <c r="AJ14" s="95">
        <f>AH14*'Wskazniki emisji paliw'!L$18</f>
        <v>0</v>
      </c>
      <c r="AK14" s="53"/>
      <c r="AL14" s="91" t="str">
        <f t="shared" si="0"/>
        <v>Miejskie Wodociągi i Kanalizacja - budynki administracyjne</v>
      </c>
      <c r="AM14" s="91" t="str">
        <f t="shared" si="1"/>
        <v>MWIK</v>
      </c>
      <c r="AN14" s="257"/>
      <c r="AO14" s="258">
        <f t="shared" si="2"/>
        <v>648142.32000000007</v>
      </c>
      <c r="AP14" s="259">
        <f t="shared" si="2"/>
        <v>1513.3160163009577</v>
      </c>
      <c r="AQ14" s="260" t="e">
        <f t="shared" si="3"/>
        <v>#DIV/0!</v>
      </c>
      <c r="AR14" s="99" t="e">
        <f t="shared" si="4"/>
        <v>#DIV/0!</v>
      </c>
      <c r="AS14" s="100"/>
      <c r="AT14" s="90"/>
      <c r="AU14" s="90"/>
      <c r="AV14" s="90"/>
      <c r="AW14" s="90"/>
      <c r="AX14" s="90"/>
      <c r="AY14" s="90"/>
      <c r="AZ14" s="90"/>
      <c r="BA14" s="90"/>
      <c r="BB14" s="90"/>
    </row>
    <row r="15" spans="1:59" s="101" customFormat="1">
      <c r="A15" s="90"/>
      <c r="B15" s="734" t="s">
        <v>311</v>
      </c>
      <c r="C15" s="735" t="s">
        <v>202</v>
      </c>
      <c r="D15" s="93">
        <f>7125800*0.5</f>
        <v>3562900</v>
      </c>
      <c r="E15" s="94">
        <f>1576941*0.5</f>
        <v>788470.5</v>
      </c>
      <c r="F15" s="95">
        <f>D15*(HLOOKUP(Ogolne!$D$6,'Wskazniki emisji elektrycznosc'!$B$8:$G$29,Ogolne!$E$7,TRUE))/1000</f>
        <v>3498.7677999999996</v>
      </c>
      <c r="G15" s="93"/>
      <c r="H15" s="94"/>
      <c r="I15" s="95">
        <f>G15*'Wskazniki emisji paliw'!M$26</f>
        <v>0</v>
      </c>
      <c r="J15" s="93"/>
      <c r="K15" s="94"/>
      <c r="L15" s="95">
        <f>J15*'Wskazniki emisji paliw'!M$27</f>
        <v>0</v>
      </c>
      <c r="M15" s="93"/>
      <c r="N15" s="94"/>
      <c r="O15" s="95">
        <f>M15*'Wskazniki emisji paliw'!K$35</f>
        <v>0</v>
      </c>
      <c r="P15" s="93"/>
      <c r="Q15" s="94"/>
      <c r="R15" s="95">
        <f>P15*'Wskazniki emisji paliw'!M$29</f>
        <v>0</v>
      </c>
      <c r="S15" s="93"/>
      <c r="T15" s="94"/>
      <c r="U15" s="95">
        <f>S15*'Wskazniki emisji paliw'!N$10</f>
        <v>0</v>
      </c>
      <c r="V15" s="93"/>
      <c r="W15" s="94"/>
      <c r="X15" s="95">
        <f>V15*'Wskazniki emisji paliw'!N$11</f>
        <v>0</v>
      </c>
      <c r="Y15" s="93"/>
      <c r="Z15" s="94"/>
      <c r="AA15" s="95">
        <f>Y15*'Wskazniki emisji paliw'!N$13</f>
        <v>0</v>
      </c>
      <c r="AB15"/>
      <c r="AC15"/>
      <c r="AD15"/>
      <c r="AE15" s="93"/>
      <c r="AF15" s="94"/>
      <c r="AG15" s="95">
        <f>AE15*'Wskazniki emisji paliw'!L$17</f>
        <v>0</v>
      </c>
      <c r="AH15" s="93"/>
      <c r="AI15" s="94"/>
      <c r="AJ15" s="95">
        <f>AH15*'Wskazniki emisji paliw'!L$18</f>
        <v>0</v>
      </c>
      <c r="AK15" s="53"/>
      <c r="AL15" s="91" t="str">
        <f t="shared" si="0"/>
        <v>Spółka Wodna "Kapuściska" - budynki administracyjne</v>
      </c>
      <c r="AM15" s="91" t="str">
        <f t="shared" si="1"/>
        <v>SWK</v>
      </c>
      <c r="AN15" s="257"/>
      <c r="AO15" s="258">
        <f t="shared" si="2"/>
        <v>788470.5</v>
      </c>
      <c r="AP15" s="259">
        <f t="shared" si="2"/>
        <v>3498.7677999999996</v>
      </c>
      <c r="AQ15" s="260" t="e">
        <f t="shared" si="3"/>
        <v>#DIV/0!</v>
      </c>
      <c r="AR15" s="99" t="e">
        <f t="shared" si="4"/>
        <v>#DIV/0!</v>
      </c>
      <c r="AS15" s="100"/>
      <c r="AT15" s="90"/>
      <c r="AU15" s="90"/>
      <c r="AV15" s="90"/>
      <c r="AW15" s="90"/>
      <c r="AX15" s="90"/>
      <c r="AY15" s="90"/>
      <c r="AZ15" s="90"/>
      <c r="BA15" s="90"/>
      <c r="BB15" s="90"/>
    </row>
    <row r="16" spans="1:59" s="101" customFormat="1">
      <c r="A16" s="90"/>
      <c r="B16" s="102"/>
      <c r="C16" s="103"/>
      <c r="D16" s="93"/>
      <c r="E16" s="94"/>
      <c r="F16" s="95">
        <f>D16*(HLOOKUP(Ogolne!$D$6,'Wskazniki emisji elektrycznosc'!$B$8:$G$29,Ogolne!$E$7,TRUE))/1000</f>
        <v>0</v>
      </c>
      <c r="G16" s="93"/>
      <c r="H16" s="94"/>
      <c r="I16" s="95">
        <f>G16*'Wskazniki emisji paliw'!M$26</f>
        <v>0</v>
      </c>
      <c r="J16" s="93"/>
      <c r="K16" s="94"/>
      <c r="L16" s="95">
        <f>J16*'Wskazniki emisji paliw'!M$27</f>
        <v>0</v>
      </c>
      <c r="M16" s="93"/>
      <c r="N16" s="94"/>
      <c r="O16" s="95">
        <f>M16*'Wskazniki emisji paliw'!K$35</f>
        <v>0</v>
      </c>
      <c r="P16" s="93"/>
      <c r="Q16" s="94"/>
      <c r="R16" s="95">
        <f>P16*'Wskazniki emisji paliw'!M$29</f>
        <v>0</v>
      </c>
      <c r="S16" s="93"/>
      <c r="T16" s="94"/>
      <c r="U16" s="95">
        <f>S16*'Wskazniki emisji paliw'!N$10</f>
        <v>0</v>
      </c>
      <c r="V16" s="93"/>
      <c r="W16" s="94"/>
      <c r="X16" s="95">
        <f>V16*'Wskazniki emisji paliw'!N$11</f>
        <v>0</v>
      </c>
      <c r="Y16" s="93"/>
      <c r="Z16" s="94"/>
      <c r="AA16" s="95">
        <f>Y16*'Wskazniki emisji paliw'!N$13</f>
        <v>0</v>
      </c>
      <c r="AB16"/>
      <c r="AC16"/>
      <c r="AD16"/>
      <c r="AE16" s="93"/>
      <c r="AF16" s="94"/>
      <c r="AG16" s="95">
        <f>AE16*'Wskazniki emisji paliw'!L$17</f>
        <v>0</v>
      </c>
      <c r="AH16" s="93"/>
      <c r="AI16" s="94"/>
      <c r="AJ16" s="95">
        <f>AH16*'Wskazniki emisji paliw'!L$18</f>
        <v>0</v>
      </c>
      <c r="AK16" s="53"/>
      <c r="AL16" s="91">
        <f t="shared" si="0"/>
        <v>0</v>
      </c>
      <c r="AM16" s="91">
        <f t="shared" si="1"/>
        <v>0</v>
      </c>
      <c r="AN16" s="257"/>
      <c r="AO16" s="258">
        <f t="shared" si="2"/>
        <v>0</v>
      </c>
      <c r="AP16" s="259">
        <f t="shared" si="2"/>
        <v>0</v>
      </c>
      <c r="AQ16" s="260" t="e">
        <f t="shared" si="3"/>
        <v>#DIV/0!</v>
      </c>
      <c r="AR16" s="99" t="e">
        <f t="shared" si="4"/>
        <v>#DIV/0!</v>
      </c>
      <c r="AS16" s="100"/>
      <c r="AT16" s="90"/>
      <c r="AU16" s="90"/>
      <c r="AV16" s="90"/>
      <c r="AW16" s="90"/>
      <c r="AX16" s="90"/>
      <c r="AY16" s="90"/>
      <c r="AZ16" s="90"/>
      <c r="BA16" s="90"/>
      <c r="BB16" s="90"/>
    </row>
    <row r="17" spans="1:54" s="101" customFormat="1">
      <c r="A17" s="90"/>
      <c r="B17" s="261" t="s">
        <v>441</v>
      </c>
      <c r="C17" s="262"/>
      <c r="D17" s="263"/>
      <c r="E17" s="264"/>
      <c r="F17" s="265">
        <f>D17*(HLOOKUP(Ogolne!$D$6,'Wskazniki emisji elektrycznosc'!$B$8:$G$29,Ogolne!$E$7,TRUE))/1000</f>
        <v>0</v>
      </c>
      <c r="G17" s="263"/>
      <c r="H17" s="264"/>
      <c r="I17" s="95">
        <f>G17*'Wskazniki emisji paliw'!M$26</f>
        <v>0</v>
      </c>
      <c r="J17" s="93"/>
      <c r="K17" s="94"/>
      <c r="L17" s="95">
        <f>J17*'Wskazniki emisji paliw'!M$27</f>
        <v>0</v>
      </c>
      <c r="M17" s="263"/>
      <c r="N17" s="264"/>
      <c r="O17" s="265">
        <f>M17*'Wskazniki emisji paliw'!K$35</f>
        <v>0</v>
      </c>
      <c r="P17" s="263"/>
      <c r="Q17" s="264"/>
      <c r="R17" s="95">
        <f>P17*'Wskazniki emisji paliw'!M$29</f>
        <v>0</v>
      </c>
      <c r="S17" s="93"/>
      <c r="T17" s="94"/>
      <c r="U17" s="95">
        <f>S17*'Wskazniki emisji paliw'!N$10</f>
        <v>0</v>
      </c>
      <c r="V17" s="93"/>
      <c r="W17" s="94"/>
      <c r="X17" s="95">
        <f>V17*'Wskazniki emisji paliw'!N$11</f>
        <v>0</v>
      </c>
      <c r="Y17" s="263"/>
      <c r="Z17" s="264"/>
      <c r="AA17" s="265">
        <f>Y17*'Wskazniki emisji paliw'!N$13</f>
        <v>0</v>
      </c>
      <c r="AB17"/>
      <c r="AC17"/>
      <c r="AD17"/>
      <c r="AE17" s="263"/>
      <c r="AF17" s="264"/>
      <c r="AG17" s="95">
        <f>AE17*'Wskazniki emisji paliw'!L$17</f>
        <v>0</v>
      </c>
      <c r="AH17" s="263"/>
      <c r="AI17" s="264"/>
      <c r="AJ17" s="265">
        <f>AH17*'Wskazniki emisji paliw'!L$18</f>
        <v>0</v>
      </c>
      <c r="AK17" s="53"/>
      <c r="AL17" s="91" t="str">
        <f t="shared" si="0"/>
        <v>Skopiuj i wklej ten wiersz zanim go wypełnisz.</v>
      </c>
      <c r="AM17" s="91">
        <f t="shared" si="1"/>
        <v>0</v>
      </c>
      <c r="AN17" s="257"/>
      <c r="AO17" s="258">
        <f t="shared" si="2"/>
        <v>0</v>
      </c>
      <c r="AP17" s="259">
        <f t="shared" si="2"/>
        <v>0</v>
      </c>
      <c r="AQ17" s="260" t="e">
        <f t="shared" si="3"/>
        <v>#DIV/0!</v>
      </c>
      <c r="AR17" s="99" t="e">
        <f t="shared" si="4"/>
        <v>#DIV/0!</v>
      </c>
      <c r="AS17" s="100"/>
      <c r="AT17" s="90"/>
      <c r="AU17" s="90"/>
      <c r="AV17" s="90"/>
      <c r="AW17" s="90"/>
      <c r="AX17" s="90"/>
      <c r="AY17" s="90"/>
      <c r="AZ17" s="90"/>
      <c r="BA17" s="90"/>
      <c r="BB17" s="90"/>
    </row>
    <row r="18" spans="1:54" s="118" customFormat="1">
      <c r="A18" s="105"/>
      <c r="B18" s="266" t="s">
        <v>440</v>
      </c>
      <c r="C18" s="267"/>
      <c r="D18" s="268">
        <f t="shared" ref="D18:AA18" si="5">SUM(D10:D17)</f>
        <v>22901424</v>
      </c>
      <c r="E18" s="268">
        <f t="shared" si="5"/>
        <v>6302800.3672000002</v>
      </c>
      <c r="F18" s="269">
        <f t="shared" si="5"/>
        <v>22489.198367999998</v>
      </c>
      <c r="G18" s="269">
        <f t="shared" si="5"/>
        <v>23329</v>
      </c>
      <c r="H18" s="269">
        <f t="shared" si="5"/>
        <v>29056.807400000002</v>
      </c>
      <c r="I18" s="269">
        <f t="shared" si="5"/>
        <v>169.18889880552959</v>
      </c>
      <c r="J18" s="269">
        <f t="shared" si="5"/>
        <v>0</v>
      </c>
      <c r="K18" s="269">
        <f t="shared" si="5"/>
        <v>0</v>
      </c>
      <c r="L18" s="269">
        <f t="shared" si="5"/>
        <v>0</v>
      </c>
      <c r="M18" s="269">
        <f t="shared" si="5"/>
        <v>6211.6</v>
      </c>
      <c r="N18" s="269">
        <f t="shared" si="5"/>
        <v>596989.64040000003</v>
      </c>
      <c r="O18" s="269">
        <f t="shared" si="5"/>
        <v>2012.5584000000001</v>
      </c>
      <c r="P18" s="269">
        <f t="shared" si="5"/>
        <v>0</v>
      </c>
      <c r="Q18" s="269">
        <f t="shared" si="5"/>
        <v>0</v>
      </c>
      <c r="R18" s="269">
        <f t="shared" si="5"/>
        <v>0</v>
      </c>
      <c r="S18" s="269">
        <f t="shared" si="5"/>
        <v>613.79999999999995</v>
      </c>
      <c r="T18" s="269">
        <f t="shared" si="5"/>
        <v>215452</v>
      </c>
      <c r="U18" s="269">
        <f t="shared" si="5"/>
        <v>1470.124656</v>
      </c>
      <c r="V18" s="269">
        <f t="shared" si="5"/>
        <v>0</v>
      </c>
      <c r="W18" s="269">
        <f t="shared" si="5"/>
        <v>0</v>
      </c>
      <c r="X18" s="269">
        <f t="shared" si="5"/>
        <v>0</v>
      </c>
      <c r="Y18" s="269">
        <f t="shared" si="5"/>
        <v>0</v>
      </c>
      <c r="Z18" s="269">
        <f t="shared" si="5"/>
        <v>0</v>
      </c>
      <c r="AA18" s="269">
        <f t="shared" si="5"/>
        <v>0</v>
      </c>
      <c r="AB18"/>
      <c r="AC18"/>
      <c r="AD18"/>
      <c r="AE18" s="269">
        <f t="shared" ref="AE18:AJ18" si="6">SUM(AE10:AE17)</f>
        <v>0</v>
      </c>
      <c r="AF18" s="269">
        <f t="shared" si="6"/>
        <v>0</v>
      </c>
      <c r="AG18" s="269">
        <f t="shared" si="6"/>
        <v>0</v>
      </c>
      <c r="AH18" s="269">
        <f t="shared" si="6"/>
        <v>0</v>
      </c>
      <c r="AI18" s="269">
        <f t="shared" si="6"/>
        <v>0</v>
      </c>
      <c r="AJ18" s="270">
        <f t="shared" si="6"/>
        <v>0</v>
      </c>
      <c r="AK18" s="53"/>
      <c r="AL18" s="271"/>
      <c r="AM18" s="272"/>
      <c r="AN18" s="273">
        <f>SUM(AN10:AN17)</f>
        <v>5819025.8329999996</v>
      </c>
      <c r="AO18" s="274">
        <f>SUM(AO10:AO17)</f>
        <v>7210869.8150000004</v>
      </c>
      <c r="AP18" s="110">
        <f>SUM(AP10:AP17)</f>
        <v>26141.070322805528</v>
      </c>
      <c r="AQ18" s="275">
        <f>AO18/AN18</f>
        <v>1.2391884865172416</v>
      </c>
      <c r="AR18" s="276">
        <f>AP18/AN18</f>
        <v>4.4923447795261794E-3</v>
      </c>
      <c r="AS18" s="126"/>
      <c r="AT18" s="105"/>
      <c r="AU18" s="105"/>
      <c r="AV18" s="105"/>
      <c r="AW18" s="105"/>
      <c r="AX18" s="105"/>
      <c r="AY18" s="105"/>
      <c r="AZ18" s="105"/>
      <c r="BA18" s="105"/>
      <c r="BB18" s="105"/>
    </row>
    <row r="19" spans="1:54" s="3" customFormat="1">
      <c r="A19" s="5"/>
      <c r="B19" s="5"/>
      <c r="C19" s="5"/>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9"/>
      <c r="AI19" s="5"/>
      <c r="AJ19" s="60"/>
      <c r="AK19" s="5"/>
      <c r="AL19" s="5"/>
      <c r="AM19" s="5"/>
      <c r="AN19" s="5"/>
      <c r="AO19" s="5"/>
      <c r="AP19" s="5"/>
      <c r="AQ19" s="5"/>
      <c r="AR19" s="5"/>
    </row>
    <row r="20" spans="1:54" s="3" customFormat="1">
      <c r="A20" s="5"/>
      <c r="B20" s="277" t="s">
        <v>476</v>
      </c>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
      <c r="AH20" s="5"/>
      <c r="AI20" s="5"/>
      <c r="AJ20" s="5"/>
      <c r="AK20" s="5"/>
      <c r="AL20" s="5"/>
      <c r="AM20" s="59"/>
      <c r="AN20" s="59"/>
      <c r="AO20" s="59"/>
      <c r="AP20" s="59"/>
      <c r="AQ20" s="59"/>
      <c r="AR20" s="59"/>
      <c r="AS20" s="60"/>
      <c r="AT20" s="5"/>
      <c r="AU20" s="5"/>
      <c r="AV20" s="5"/>
      <c r="AW20" s="5"/>
      <c r="AX20" s="5"/>
      <c r="AY20" s="5"/>
      <c r="AZ20" s="5"/>
      <c r="BA20" s="5"/>
    </row>
    <row r="21" spans="1:54" s="3" customFormat="1">
      <c r="A21" s="5"/>
      <c r="B21" s="277" t="s">
        <v>477</v>
      </c>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
      <c r="AH21" s="5"/>
      <c r="AI21" s="5"/>
      <c r="AJ21" s="5"/>
      <c r="AK21" s="5"/>
      <c r="AL21" s="5"/>
      <c r="AM21" s="59"/>
      <c r="AN21" s="59"/>
      <c r="AO21" s="59"/>
      <c r="AP21" s="59"/>
      <c r="AQ21" s="59"/>
      <c r="AR21" s="59"/>
      <c r="AS21" s="60"/>
      <c r="AT21" s="5"/>
      <c r="AU21" s="5"/>
      <c r="AV21" s="5"/>
      <c r="AW21" s="5"/>
      <c r="AX21" s="5"/>
      <c r="AY21" s="5"/>
      <c r="AZ21" s="5"/>
      <c r="BA21" s="5"/>
    </row>
    <row r="22" spans="1:54" s="3" customFormat="1">
      <c r="A22" s="5"/>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32"/>
      <c r="AH22" s="132"/>
      <c r="AI22" s="132"/>
      <c r="AJ22" s="132"/>
      <c r="AK22" s="5"/>
      <c r="AL22" s="5"/>
      <c r="AM22" s="59"/>
      <c r="AN22" s="59"/>
      <c r="AO22" s="59"/>
      <c r="AP22" s="59"/>
      <c r="AQ22" s="59"/>
      <c r="AR22" s="59"/>
      <c r="AS22" s="60"/>
      <c r="AT22" s="5"/>
      <c r="AU22" s="5"/>
      <c r="AV22" s="5"/>
      <c r="AW22" s="5"/>
      <c r="AX22" s="5"/>
      <c r="AY22" s="5"/>
      <c r="AZ22" s="5"/>
      <c r="BA22" s="5"/>
    </row>
    <row r="23" spans="1:54" s="3" customFormat="1">
      <c r="A23" s="5"/>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
      <c r="AH23" s="5"/>
      <c r="AI23" s="5"/>
      <c r="AJ23" s="5"/>
      <c r="AK23" s="5"/>
      <c r="AL23" s="5"/>
      <c r="AM23" s="59"/>
      <c r="AN23" s="59"/>
      <c r="AO23" s="59"/>
      <c r="AP23" s="59"/>
      <c r="AQ23" s="59"/>
      <c r="AR23" s="59"/>
      <c r="AS23" s="60"/>
      <c r="AT23" s="5"/>
      <c r="AU23" s="5"/>
      <c r="AV23" s="5"/>
      <c r="AW23" s="5"/>
      <c r="AX23" s="5"/>
      <c r="AY23" s="5"/>
      <c r="AZ23" s="5"/>
      <c r="BA23" s="5"/>
    </row>
    <row r="24" spans="1:54" s="3" customFormat="1">
      <c r="A24" s="5"/>
      <c r="B24" s="133" t="s">
        <v>392</v>
      </c>
      <c r="C24" s="134">
        <v>1</v>
      </c>
      <c r="D24" s="47"/>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9"/>
      <c r="AI24" s="5"/>
      <c r="AJ24" s="60"/>
      <c r="AK24" s="5"/>
      <c r="AL24" s="5"/>
      <c r="AM24" s="5"/>
      <c r="AN24" s="5"/>
      <c r="AO24" s="5"/>
      <c r="AP24" s="5"/>
      <c r="AQ24" s="5"/>
      <c r="AR24" s="5"/>
    </row>
    <row r="25" spans="1:54" s="3" customFormat="1">
      <c r="A25" s="5"/>
      <c r="B25" s="53"/>
      <c r="C25" s="134">
        <v>2</v>
      </c>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9"/>
      <c r="AI25" s="5"/>
      <c r="AJ25" s="60"/>
      <c r="AK25" s="5"/>
      <c r="AL25" s="5"/>
      <c r="AM25" s="5"/>
      <c r="AN25" s="5"/>
      <c r="AO25" s="5"/>
      <c r="AP25" s="5"/>
      <c r="AQ25" s="5"/>
      <c r="AR25" s="5"/>
    </row>
    <row r="26" spans="1:54" s="3" customFormat="1">
      <c r="A26" s="5"/>
      <c r="B26" s="53"/>
      <c r="C26" s="134">
        <v>3</v>
      </c>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9"/>
      <c r="AI26" s="5"/>
      <c r="AJ26" s="60"/>
      <c r="AK26" s="5"/>
      <c r="AL26" s="5"/>
      <c r="AM26" s="5"/>
      <c r="AN26" s="5"/>
      <c r="AO26" s="5"/>
      <c r="AP26" s="5"/>
      <c r="AQ26" s="5"/>
      <c r="AR26" s="5"/>
    </row>
    <row r="27" spans="1:54" s="3" customFormat="1">
      <c r="A27" s="5"/>
      <c r="B27" s="5"/>
      <c r="C27" s="5"/>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9"/>
      <c r="AI27" s="5"/>
      <c r="AJ27" s="60"/>
      <c r="AK27" s="5"/>
      <c r="AL27" s="5"/>
      <c r="AM27" s="5"/>
      <c r="AN27" s="5"/>
      <c r="AO27" s="5"/>
      <c r="AP27" s="5"/>
      <c r="AQ27" s="5"/>
      <c r="AR27" s="5"/>
    </row>
    <row r="28" spans="1:54">
      <c r="A28" s="146"/>
      <c r="B28" s="146"/>
      <c r="C28" s="146"/>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90"/>
      <c r="AI28" s="146"/>
      <c r="AJ28" s="147"/>
      <c r="AK28" s="146"/>
      <c r="AL28" s="146"/>
      <c r="AM28" s="146"/>
      <c r="AN28" s="146"/>
      <c r="AO28" s="146"/>
      <c r="AP28" s="146"/>
      <c r="AQ28" s="146"/>
      <c r="AR28" s="146"/>
    </row>
    <row r="29" spans="1:54">
      <c r="A29" s="146"/>
      <c r="B29" s="146"/>
      <c r="C29" s="146"/>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90"/>
      <c r="AI29" s="146"/>
      <c r="AJ29" s="147"/>
      <c r="AK29" s="146"/>
      <c r="AL29" s="146"/>
      <c r="AM29" s="146"/>
      <c r="AN29" s="146"/>
      <c r="AO29" s="146"/>
      <c r="AP29" s="146"/>
      <c r="AQ29" s="146"/>
      <c r="AR29" s="146"/>
    </row>
    <row r="30" spans="1:54">
      <c r="A30" s="146"/>
      <c r="B30" s="146"/>
      <c r="C30" s="146"/>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90"/>
      <c r="AI30" s="146"/>
      <c r="AJ30" s="147"/>
      <c r="AK30" s="146"/>
      <c r="AL30" s="146"/>
      <c r="AM30" s="146"/>
      <c r="AN30" s="146"/>
      <c r="AO30" s="146"/>
      <c r="AP30" s="146"/>
      <c r="AQ30" s="146"/>
      <c r="AR30" s="146"/>
    </row>
    <row r="31" spans="1:54">
      <c r="A31" s="146"/>
      <c r="B31" s="146"/>
      <c r="C31" s="146"/>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90"/>
      <c r="AI31" s="146"/>
      <c r="AJ31" s="147"/>
      <c r="AK31" s="146"/>
      <c r="AL31" s="146"/>
      <c r="AM31" s="146"/>
      <c r="AN31" s="146"/>
      <c r="AO31" s="146"/>
      <c r="AP31" s="146"/>
      <c r="AQ31" s="146"/>
      <c r="AR31" s="146"/>
    </row>
    <row r="32" spans="1:54">
      <c r="A32" s="146"/>
      <c r="B32" s="146"/>
      <c r="C32" s="146"/>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90"/>
      <c r="AI32" s="146"/>
      <c r="AJ32" s="147"/>
      <c r="AK32" s="146"/>
      <c r="AL32" s="146"/>
      <c r="AM32" s="146"/>
      <c r="AN32" s="146"/>
      <c r="AO32" s="146"/>
      <c r="AP32" s="146"/>
      <c r="AQ32" s="146"/>
      <c r="AR32" s="146"/>
    </row>
    <row r="33" spans="1:44">
      <c r="A33" s="146"/>
      <c r="B33" s="146"/>
      <c r="C33" s="146"/>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90"/>
      <c r="AI33" s="146"/>
      <c r="AJ33" s="147"/>
      <c r="AK33" s="146"/>
      <c r="AL33" s="146"/>
      <c r="AM33" s="146"/>
      <c r="AN33" s="146"/>
      <c r="AO33" s="146"/>
      <c r="AP33" s="146"/>
      <c r="AQ33" s="146"/>
      <c r="AR33" s="146"/>
    </row>
    <row r="34" spans="1:44">
      <c r="A34" s="146"/>
      <c r="B34" s="146"/>
      <c r="C34" s="146"/>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90"/>
      <c r="AI34" s="146"/>
      <c r="AJ34" s="147"/>
      <c r="AK34" s="146"/>
      <c r="AL34" s="146"/>
      <c r="AM34" s="146"/>
      <c r="AN34" s="146"/>
      <c r="AO34" s="146"/>
      <c r="AP34" s="146"/>
      <c r="AQ34" s="146"/>
      <c r="AR34" s="146"/>
    </row>
    <row r="35" spans="1:44">
      <c r="A35" s="146"/>
      <c r="B35" s="146"/>
      <c r="C35" s="146"/>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90"/>
      <c r="AI35" s="146"/>
      <c r="AJ35" s="147"/>
      <c r="AK35" s="146"/>
      <c r="AL35" s="146"/>
      <c r="AM35" s="146"/>
      <c r="AN35" s="146"/>
      <c r="AO35" s="146"/>
      <c r="AP35" s="146"/>
      <c r="AQ35" s="146"/>
      <c r="AR35" s="146"/>
    </row>
    <row r="36" spans="1:44">
      <c r="A36" s="146"/>
      <c r="B36" s="146"/>
      <c r="C36" s="146"/>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90"/>
      <c r="AI36" s="146"/>
      <c r="AJ36" s="147"/>
      <c r="AK36" s="146"/>
      <c r="AL36" s="146"/>
      <c r="AM36" s="146"/>
      <c r="AN36" s="146"/>
      <c r="AO36" s="146"/>
      <c r="AP36" s="146"/>
      <c r="AQ36" s="146"/>
      <c r="AR36" s="146"/>
    </row>
    <row r="37" spans="1:44">
      <c r="A37" s="146"/>
      <c r="B37" s="146"/>
      <c r="C37" s="146"/>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90"/>
      <c r="AI37" s="146"/>
      <c r="AJ37" s="147"/>
      <c r="AK37" s="146"/>
      <c r="AL37" s="146"/>
      <c r="AM37" s="146"/>
      <c r="AN37" s="146"/>
      <c r="AO37" s="146"/>
      <c r="AP37" s="146"/>
      <c r="AQ37" s="146"/>
      <c r="AR37" s="146"/>
    </row>
    <row r="38" spans="1:44">
      <c r="A38" s="146"/>
      <c r="B38" s="146"/>
      <c r="C38" s="146"/>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90"/>
      <c r="AI38" s="146"/>
      <c r="AJ38" s="147"/>
      <c r="AK38" s="146"/>
      <c r="AL38" s="146"/>
      <c r="AM38" s="146"/>
      <c r="AN38" s="146"/>
      <c r="AO38" s="146"/>
      <c r="AP38" s="146"/>
      <c r="AQ38" s="146"/>
      <c r="AR38" s="146"/>
    </row>
    <row r="39" spans="1:44">
      <c r="A39" s="146"/>
      <c r="B39" s="146"/>
      <c r="C39" s="146"/>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90"/>
      <c r="AI39" s="146"/>
      <c r="AJ39" s="147"/>
      <c r="AK39" s="146"/>
      <c r="AL39" s="146"/>
      <c r="AM39" s="146"/>
      <c r="AN39" s="146"/>
      <c r="AO39" s="146"/>
      <c r="AP39" s="146"/>
      <c r="AQ39" s="146"/>
      <c r="AR39" s="146"/>
    </row>
    <row r="40" spans="1:44">
      <c r="A40" s="146"/>
      <c r="B40" s="146"/>
      <c r="C40" s="146"/>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90"/>
      <c r="AI40" s="146"/>
      <c r="AJ40" s="147"/>
      <c r="AK40" s="146"/>
      <c r="AL40" s="146"/>
      <c r="AM40" s="146"/>
      <c r="AN40" s="146"/>
      <c r="AO40" s="146"/>
      <c r="AP40" s="146"/>
      <c r="AQ40" s="146"/>
      <c r="AR40" s="146"/>
    </row>
    <row r="41" spans="1:44">
      <c r="A41" s="146"/>
      <c r="B41" s="146"/>
      <c r="C41" s="146"/>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90"/>
      <c r="AI41" s="146"/>
      <c r="AJ41" s="147"/>
      <c r="AK41" s="146"/>
      <c r="AL41" s="146"/>
      <c r="AM41" s="146"/>
      <c r="AN41" s="146"/>
      <c r="AO41" s="146"/>
      <c r="AP41" s="146"/>
      <c r="AQ41" s="146"/>
      <c r="AR41" s="146"/>
    </row>
    <row r="42" spans="1:44">
      <c r="A42" s="146"/>
      <c r="B42" s="146"/>
      <c r="C42" s="146"/>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90"/>
      <c r="AI42" s="146"/>
      <c r="AJ42" s="147"/>
      <c r="AK42" s="146"/>
      <c r="AL42" s="146"/>
      <c r="AM42" s="146"/>
      <c r="AN42" s="146"/>
      <c r="AO42" s="146"/>
      <c r="AP42" s="146"/>
      <c r="AQ42" s="146"/>
      <c r="AR42" s="146"/>
    </row>
    <row r="43" spans="1:44">
      <c r="A43" s="146"/>
      <c r="B43" s="146"/>
      <c r="C43" s="146"/>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90"/>
      <c r="AI43" s="146"/>
      <c r="AJ43" s="147"/>
      <c r="AK43" s="146"/>
      <c r="AL43" s="146"/>
      <c r="AM43" s="146"/>
      <c r="AN43" s="146"/>
      <c r="AO43" s="146"/>
      <c r="AP43" s="146"/>
      <c r="AQ43" s="146"/>
      <c r="AR43" s="146"/>
    </row>
    <row r="44" spans="1:44">
      <c r="A44" s="146"/>
      <c r="B44" s="146"/>
      <c r="C44" s="146"/>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90"/>
      <c r="AI44" s="146"/>
      <c r="AJ44" s="147"/>
      <c r="AK44" s="146"/>
      <c r="AL44" s="146"/>
      <c r="AM44" s="146"/>
      <c r="AN44" s="146"/>
      <c r="AO44" s="146"/>
      <c r="AP44" s="146"/>
      <c r="AQ44" s="146"/>
      <c r="AR44" s="146"/>
    </row>
    <row r="45" spans="1:44">
      <c r="A45" s="146"/>
      <c r="B45" s="146"/>
      <c r="C45" s="146"/>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90"/>
      <c r="AI45" s="146"/>
      <c r="AJ45" s="147"/>
      <c r="AK45" s="146"/>
      <c r="AL45" s="146"/>
      <c r="AM45" s="146"/>
      <c r="AN45" s="146"/>
      <c r="AO45" s="146"/>
      <c r="AP45" s="146"/>
      <c r="AQ45" s="146"/>
      <c r="AR45" s="146"/>
    </row>
    <row r="46" spans="1:44">
      <c r="A46" s="146"/>
      <c r="B46" s="146"/>
      <c r="C46" s="146"/>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90"/>
      <c r="AI46" s="146"/>
      <c r="AJ46" s="147"/>
      <c r="AK46" s="146"/>
      <c r="AL46" s="146"/>
      <c r="AM46" s="146"/>
      <c r="AN46" s="146"/>
      <c r="AO46" s="146"/>
      <c r="AP46" s="146"/>
      <c r="AQ46" s="146"/>
      <c r="AR46" s="146"/>
    </row>
    <row r="47" spans="1:44">
      <c r="A47" s="146"/>
      <c r="B47" s="146"/>
      <c r="C47" s="146"/>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90"/>
      <c r="AI47" s="146"/>
      <c r="AJ47" s="147"/>
      <c r="AK47" s="146"/>
      <c r="AL47" s="146"/>
      <c r="AM47" s="146"/>
      <c r="AN47" s="146"/>
      <c r="AO47" s="146"/>
      <c r="AP47" s="146"/>
      <c r="AQ47" s="146"/>
      <c r="AR47" s="146"/>
    </row>
    <row r="48" spans="1:44">
      <c r="A48" s="146"/>
      <c r="B48" s="146"/>
      <c r="C48" s="146"/>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90"/>
      <c r="AI48" s="146"/>
      <c r="AJ48" s="147"/>
      <c r="AK48" s="146"/>
      <c r="AL48" s="146"/>
      <c r="AM48" s="146"/>
      <c r="AN48" s="146"/>
      <c r="AO48" s="146"/>
      <c r="AP48" s="146"/>
      <c r="AQ48" s="146"/>
      <c r="AR48" s="146"/>
    </row>
    <row r="49" spans="1:44">
      <c r="A49" s="146"/>
      <c r="B49" s="146"/>
      <c r="C49" s="146"/>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90"/>
      <c r="AI49" s="146"/>
      <c r="AJ49" s="147"/>
      <c r="AK49" s="146"/>
      <c r="AL49" s="146"/>
      <c r="AM49" s="146"/>
      <c r="AN49" s="146"/>
      <c r="AO49" s="146"/>
      <c r="AP49" s="146"/>
      <c r="AQ49" s="146"/>
      <c r="AR49" s="146"/>
    </row>
    <row r="50" spans="1:44">
      <c r="A50" s="146"/>
      <c r="B50" s="146"/>
      <c r="C50" s="146"/>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90"/>
      <c r="AI50" s="146"/>
      <c r="AJ50" s="147"/>
      <c r="AK50" s="146"/>
      <c r="AL50" s="146"/>
      <c r="AM50" s="146"/>
      <c r="AN50" s="146"/>
      <c r="AO50" s="146"/>
      <c r="AP50" s="146"/>
      <c r="AQ50" s="146"/>
      <c r="AR50" s="146"/>
    </row>
    <row r="51" spans="1:44">
      <c r="A51" s="146"/>
      <c r="B51" s="146"/>
      <c r="C51" s="146"/>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90"/>
      <c r="AI51" s="146"/>
      <c r="AJ51" s="147"/>
      <c r="AK51" s="146"/>
      <c r="AL51" s="146"/>
      <c r="AM51" s="146"/>
      <c r="AN51" s="146"/>
      <c r="AO51" s="146"/>
      <c r="AP51" s="146"/>
      <c r="AQ51" s="146"/>
      <c r="AR51" s="146"/>
    </row>
    <row r="52" spans="1:44">
      <c r="A52" s="146"/>
      <c r="B52" s="146"/>
      <c r="C52" s="146"/>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90"/>
      <c r="AI52" s="146"/>
      <c r="AJ52" s="147"/>
      <c r="AK52" s="146"/>
      <c r="AL52" s="146"/>
      <c r="AM52" s="146"/>
      <c r="AN52" s="146"/>
      <c r="AO52" s="146"/>
      <c r="AP52" s="146"/>
      <c r="AQ52" s="146"/>
      <c r="AR52" s="146"/>
    </row>
    <row r="53" spans="1:44">
      <c r="A53" s="146"/>
      <c r="B53" s="146"/>
      <c r="C53" s="146"/>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90"/>
      <c r="AI53" s="146"/>
      <c r="AJ53" s="147"/>
      <c r="AK53" s="146"/>
      <c r="AL53" s="146"/>
      <c r="AM53" s="146"/>
      <c r="AN53" s="146"/>
      <c r="AO53" s="146"/>
      <c r="AP53" s="146"/>
      <c r="AQ53" s="146"/>
      <c r="AR53" s="146"/>
    </row>
    <row r="54" spans="1:44">
      <c r="A54" s="146"/>
      <c r="B54" s="146"/>
      <c r="C54" s="146"/>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90"/>
      <c r="AI54" s="146"/>
      <c r="AJ54" s="147"/>
      <c r="AK54" s="146"/>
      <c r="AL54" s="146"/>
      <c r="AM54" s="146"/>
      <c r="AN54" s="146"/>
      <c r="AO54" s="146"/>
      <c r="AP54" s="146"/>
      <c r="AQ54" s="146"/>
      <c r="AR54" s="146"/>
    </row>
    <row r="55" spans="1:44">
      <c r="A55" s="146"/>
      <c r="B55" s="146"/>
      <c r="C55" s="146"/>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90"/>
      <c r="AI55" s="146"/>
      <c r="AJ55" s="147"/>
      <c r="AK55" s="146"/>
      <c r="AL55" s="146"/>
      <c r="AM55" s="146"/>
      <c r="AN55" s="146"/>
      <c r="AO55" s="146"/>
      <c r="AP55" s="146"/>
      <c r="AQ55" s="146"/>
      <c r="AR55" s="146"/>
    </row>
    <row r="56" spans="1:44">
      <c r="A56" s="146"/>
      <c r="B56" s="146"/>
      <c r="C56" s="146"/>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90"/>
      <c r="AI56" s="146"/>
      <c r="AJ56" s="147"/>
      <c r="AK56" s="146"/>
      <c r="AL56" s="146"/>
      <c r="AM56" s="146"/>
      <c r="AN56" s="146"/>
      <c r="AO56" s="146"/>
      <c r="AP56" s="146"/>
      <c r="AQ56" s="146"/>
      <c r="AR56" s="146"/>
    </row>
    <row r="57" spans="1:44">
      <c r="A57" s="146"/>
      <c r="B57" s="146"/>
      <c r="C57" s="146"/>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90"/>
      <c r="AI57" s="146"/>
      <c r="AJ57" s="147"/>
      <c r="AK57" s="146"/>
      <c r="AL57" s="146"/>
      <c r="AM57" s="146"/>
      <c r="AN57" s="146"/>
      <c r="AO57" s="146"/>
      <c r="AP57" s="146"/>
      <c r="AQ57" s="146"/>
      <c r="AR57" s="146"/>
    </row>
    <row r="58" spans="1:44">
      <c r="A58" s="146"/>
      <c r="B58" s="146"/>
      <c r="C58" s="146"/>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90"/>
      <c r="AI58" s="146"/>
      <c r="AJ58" s="147"/>
      <c r="AK58" s="146"/>
      <c r="AL58" s="146"/>
      <c r="AM58" s="146"/>
      <c r="AN58" s="146"/>
      <c r="AO58" s="146"/>
      <c r="AP58" s="146"/>
      <c r="AQ58" s="146"/>
      <c r="AR58" s="146"/>
    </row>
    <row r="59" spans="1:44">
      <c r="A59" s="146"/>
      <c r="B59" s="146"/>
      <c r="C59" s="146"/>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90"/>
      <c r="AI59" s="146"/>
      <c r="AJ59" s="147"/>
      <c r="AK59" s="146"/>
      <c r="AL59" s="146"/>
      <c r="AM59" s="146"/>
      <c r="AN59" s="146"/>
      <c r="AO59" s="146"/>
      <c r="AP59" s="146"/>
      <c r="AQ59" s="146"/>
      <c r="AR59" s="146"/>
    </row>
    <row r="60" spans="1:44">
      <c r="A60" s="146"/>
      <c r="B60" s="146"/>
      <c r="C60" s="146"/>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90"/>
      <c r="AI60" s="146"/>
      <c r="AJ60" s="147"/>
      <c r="AK60" s="146"/>
      <c r="AL60" s="146"/>
      <c r="AM60" s="146"/>
      <c r="AN60" s="146"/>
      <c r="AO60" s="146"/>
      <c r="AP60" s="146"/>
      <c r="AQ60" s="146"/>
      <c r="AR60" s="146"/>
    </row>
    <row r="61" spans="1:44">
      <c r="A61" s="146"/>
      <c r="B61" s="146"/>
      <c r="C61" s="146"/>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90"/>
      <c r="AI61" s="146"/>
      <c r="AJ61" s="147"/>
      <c r="AK61" s="146"/>
      <c r="AL61" s="146"/>
      <c r="AM61" s="146"/>
      <c r="AN61" s="146"/>
      <c r="AO61" s="146"/>
      <c r="AP61" s="146"/>
      <c r="AQ61" s="146"/>
      <c r="AR61" s="146"/>
    </row>
    <row r="62" spans="1:44">
      <c r="A62" s="146"/>
      <c r="B62" s="146"/>
      <c r="C62" s="146"/>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90"/>
      <c r="AI62" s="146"/>
      <c r="AJ62" s="147"/>
      <c r="AK62" s="146"/>
      <c r="AL62" s="146"/>
      <c r="AM62" s="146"/>
      <c r="AN62" s="146"/>
      <c r="AO62" s="146"/>
      <c r="AP62" s="146"/>
      <c r="AQ62" s="146"/>
      <c r="AR62" s="146"/>
    </row>
    <row r="63" spans="1:44">
      <c r="A63" s="146"/>
      <c r="B63" s="146"/>
      <c r="C63" s="146"/>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90"/>
      <c r="AI63" s="146"/>
      <c r="AJ63" s="147"/>
      <c r="AK63" s="146"/>
      <c r="AL63" s="146"/>
      <c r="AM63" s="146"/>
      <c r="AN63" s="146"/>
      <c r="AO63" s="146"/>
      <c r="AP63" s="146"/>
      <c r="AQ63" s="146"/>
      <c r="AR63" s="146"/>
    </row>
    <row r="64" spans="1:44">
      <c r="A64" s="146"/>
      <c r="B64" s="146"/>
      <c r="C64" s="146"/>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90"/>
      <c r="AI64" s="146"/>
      <c r="AJ64" s="147"/>
      <c r="AK64" s="146"/>
      <c r="AL64" s="146"/>
      <c r="AM64" s="146"/>
      <c r="AN64" s="146"/>
      <c r="AO64" s="146"/>
      <c r="AP64" s="146"/>
      <c r="AQ64" s="146"/>
      <c r="AR64" s="146"/>
    </row>
    <row r="65" spans="1:44">
      <c r="A65" s="146"/>
      <c r="B65" s="146"/>
      <c r="C65" s="146"/>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90"/>
      <c r="AI65" s="146"/>
      <c r="AJ65" s="147"/>
      <c r="AK65" s="146"/>
      <c r="AL65" s="146"/>
      <c r="AM65" s="146"/>
      <c r="AN65" s="146"/>
      <c r="AO65" s="146"/>
      <c r="AP65" s="146"/>
      <c r="AQ65" s="146"/>
      <c r="AR65" s="146"/>
    </row>
    <row r="66" spans="1:44">
      <c r="A66" s="146"/>
      <c r="B66" s="146"/>
      <c r="C66" s="146"/>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90"/>
      <c r="AI66" s="146"/>
      <c r="AJ66" s="147"/>
      <c r="AK66" s="146"/>
      <c r="AL66" s="146"/>
      <c r="AM66" s="146"/>
      <c r="AN66" s="146"/>
      <c r="AO66" s="146"/>
      <c r="AP66" s="146"/>
      <c r="AQ66" s="146"/>
      <c r="AR66" s="146"/>
    </row>
    <row r="67" spans="1:44">
      <c r="A67" s="146"/>
      <c r="B67" s="146"/>
      <c r="C67" s="146"/>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90"/>
      <c r="AI67" s="146"/>
      <c r="AJ67" s="147"/>
      <c r="AK67" s="146"/>
      <c r="AL67" s="146"/>
      <c r="AM67" s="146"/>
      <c r="AN67" s="146"/>
      <c r="AO67" s="146"/>
      <c r="AP67" s="146"/>
      <c r="AQ67" s="146"/>
      <c r="AR67" s="146"/>
    </row>
    <row r="68" spans="1:44">
      <c r="A68" s="146"/>
      <c r="B68" s="146"/>
      <c r="C68" s="146"/>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90"/>
      <c r="AI68" s="146"/>
      <c r="AJ68" s="147"/>
      <c r="AK68" s="146"/>
      <c r="AL68" s="146"/>
      <c r="AM68" s="146"/>
      <c r="AN68" s="146"/>
      <c r="AO68" s="146"/>
      <c r="AP68" s="146"/>
      <c r="AQ68" s="146"/>
      <c r="AR68" s="146"/>
    </row>
    <row r="69" spans="1:44">
      <c r="A69" s="146"/>
      <c r="B69" s="146"/>
      <c r="C69" s="146"/>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90"/>
      <c r="AI69" s="146"/>
      <c r="AJ69" s="147"/>
      <c r="AK69" s="146"/>
      <c r="AL69" s="146"/>
      <c r="AM69" s="146"/>
      <c r="AN69" s="146"/>
      <c r="AO69" s="146"/>
      <c r="AP69" s="146"/>
      <c r="AQ69" s="146"/>
      <c r="AR69" s="146"/>
    </row>
    <row r="70" spans="1:44">
      <c r="A70" s="146"/>
      <c r="B70" s="146"/>
      <c r="C70" s="146"/>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90"/>
      <c r="AI70" s="146"/>
      <c r="AJ70" s="147"/>
      <c r="AK70" s="146"/>
      <c r="AL70" s="146"/>
      <c r="AM70" s="146"/>
      <c r="AN70" s="146"/>
      <c r="AO70" s="146"/>
      <c r="AP70" s="146"/>
      <c r="AQ70" s="146"/>
      <c r="AR70" s="146"/>
    </row>
    <row r="71" spans="1:44">
      <c r="A71" s="146"/>
      <c r="B71" s="146"/>
      <c r="C71" s="146"/>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90"/>
      <c r="AI71" s="146"/>
      <c r="AJ71" s="147"/>
      <c r="AK71" s="146"/>
      <c r="AL71" s="146"/>
      <c r="AM71" s="146"/>
      <c r="AN71" s="146"/>
      <c r="AO71" s="146"/>
      <c r="AP71" s="146"/>
      <c r="AQ71" s="146"/>
      <c r="AR71" s="146"/>
    </row>
    <row r="72" spans="1:44">
      <c r="A72" s="146"/>
      <c r="B72" s="146"/>
      <c r="C72" s="146"/>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90"/>
      <c r="AI72" s="146"/>
      <c r="AJ72" s="147"/>
      <c r="AK72" s="146"/>
      <c r="AL72" s="146"/>
      <c r="AM72" s="146"/>
      <c r="AN72" s="146"/>
      <c r="AO72" s="146"/>
      <c r="AP72" s="146"/>
      <c r="AQ72" s="146"/>
      <c r="AR72" s="146"/>
    </row>
    <row r="73" spans="1:44">
      <c r="A73" s="146"/>
      <c r="B73" s="146"/>
      <c r="C73" s="146"/>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90"/>
      <c r="AI73" s="146"/>
      <c r="AJ73" s="147"/>
      <c r="AK73" s="146"/>
      <c r="AL73" s="146"/>
      <c r="AM73" s="146"/>
      <c r="AN73" s="146"/>
      <c r="AO73" s="146"/>
      <c r="AP73" s="146"/>
      <c r="AQ73" s="146"/>
      <c r="AR73" s="146"/>
    </row>
    <row r="74" spans="1:44">
      <c r="A74" s="146"/>
      <c r="B74" s="146"/>
      <c r="C74" s="146"/>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90"/>
      <c r="AI74" s="146"/>
      <c r="AJ74" s="147"/>
      <c r="AK74" s="146"/>
      <c r="AL74" s="146"/>
      <c r="AM74" s="146"/>
      <c r="AN74" s="146"/>
      <c r="AO74" s="146"/>
      <c r="AP74" s="146"/>
      <c r="AQ74" s="146"/>
      <c r="AR74" s="146"/>
    </row>
    <row r="75" spans="1:44">
      <c r="A75" s="146"/>
      <c r="B75" s="146"/>
      <c r="C75" s="146"/>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90"/>
      <c r="AI75" s="146"/>
      <c r="AJ75" s="147"/>
      <c r="AK75" s="146"/>
      <c r="AL75" s="146"/>
      <c r="AM75" s="146"/>
      <c r="AN75" s="146"/>
      <c r="AO75" s="146"/>
      <c r="AP75" s="146"/>
      <c r="AQ75" s="146"/>
      <c r="AR75" s="146"/>
    </row>
    <row r="76" spans="1:44">
      <c r="A76" s="146"/>
      <c r="B76" s="146"/>
      <c r="C76" s="146"/>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90"/>
      <c r="AI76" s="146"/>
      <c r="AJ76" s="147"/>
      <c r="AK76" s="146"/>
      <c r="AL76" s="146"/>
      <c r="AM76" s="146"/>
      <c r="AN76" s="146"/>
      <c r="AO76" s="146"/>
      <c r="AP76" s="146"/>
      <c r="AQ76" s="146"/>
      <c r="AR76" s="146"/>
    </row>
    <row r="77" spans="1:44">
      <c r="A77" s="146"/>
      <c r="B77" s="146"/>
      <c r="C77" s="146"/>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90"/>
      <c r="AI77" s="146"/>
      <c r="AJ77" s="147"/>
      <c r="AK77" s="146"/>
      <c r="AL77" s="146"/>
      <c r="AM77" s="146"/>
      <c r="AN77" s="146"/>
      <c r="AO77" s="146"/>
      <c r="AP77" s="146"/>
      <c r="AQ77" s="146"/>
      <c r="AR77" s="146"/>
    </row>
    <row r="78" spans="1:44">
      <c r="A78" s="146"/>
      <c r="B78" s="146"/>
      <c r="C78" s="146"/>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90"/>
      <c r="AI78" s="146"/>
      <c r="AJ78" s="147"/>
      <c r="AK78" s="146"/>
      <c r="AL78" s="146"/>
      <c r="AM78" s="146"/>
      <c r="AN78" s="146"/>
      <c r="AO78" s="146"/>
      <c r="AP78" s="146"/>
      <c r="AQ78" s="146"/>
      <c r="AR78" s="146"/>
    </row>
    <row r="79" spans="1:44">
      <c r="A79" s="146"/>
      <c r="B79" s="146"/>
      <c r="C79" s="146"/>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90"/>
      <c r="AI79" s="146"/>
      <c r="AJ79" s="147"/>
      <c r="AK79" s="146"/>
      <c r="AL79" s="146"/>
      <c r="AM79" s="146"/>
      <c r="AN79" s="146"/>
      <c r="AO79" s="146"/>
      <c r="AP79" s="146"/>
      <c r="AQ79" s="146"/>
      <c r="AR79" s="146"/>
    </row>
    <row r="80" spans="1:44">
      <c r="A80" s="146"/>
      <c r="B80" s="146"/>
      <c r="C80" s="146"/>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90"/>
      <c r="AI80" s="146"/>
      <c r="AJ80" s="147"/>
      <c r="AK80" s="146"/>
      <c r="AL80" s="146"/>
      <c r="AM80" s="146"/>
      <c r="AN80" s="146"/>
      <c r="AO80" s="146"/>
      <c r="AP80" s="146"/>
      <c r="AQ80" s="146"/>
      <c r="AR80" s="146"/>
    </row>
    <row r="81" spans="1:44">
      <c r="A81" s="146"/>
      <c r="B81" s="146"/>
      <c r="C81" s="146"/>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90"/>
      <c r="AI81" s="146"/>
      <c r="AJ81" s="147"/>
      <c r="AK81" s="146"/>
      <c r="AL81" s="146"/>
      <c r="AM81" s="146"/>
      <c r="AN81" s="146"/>
      <c r="AO81" s="146"/>
      <c r="AP81" s="146"/>
      <c r="AQ81" s="146"/>
      <c r="AR81" s="146"/>
    </row>
    <row r="82" spans="1:44">
      <c r="A82" s="146"/>
      <c r="B82" s="146"/>
      <c r="C82" s="146"/>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90"/>
      <c r="AI82" s="146"/>
      <c r="AJ82" s="147"/>
      <c r="AK82" s="146"/>
      <c r="AL82" s="146"/>
      <c r="AM82" s="146"/>
      <c r="AN82" s="146"/>
      <c r="AO82" s="146"/>
      <c r="AP82" s="146"/>
      <c r="AQ82" s="146"/>
      <c r="AR82" s="146"/>
    </row>
    <row r="83" spans="1:44">
      <c r="A83" s="146"/>
      <c r="B83" s="146"/>
      <c r="C83" s="146"/>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90"/>
      <c r="AI83" s="146"/>
      <c r="AJ83" s="147"/>
      <c r="AK83" s="146"/>
      <c r="AL83" s="146"/>
      <c r="AM83" s="146"/>
      <c r="AN83" s="146"/>
      <c r="AO83" s="146"/>
      <c r="AP83" s="146"/>
      <c r="AQ83" s="146"/>
      <c r="AR83" s="146"/>
    </row>
    <row r="84" spans="1:44">
      <c r="A84" s="146"/>
      <c r="B84" s="146"/>
      <c r="C84" s="146"/>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90"/>
      <c r="AI84" s="146"/>
      <c r="AJ84" s="147"/>
      <c r="AK84" s="146"/>
      <c r="AL84" s="146"/>
      <c r="AM84" s="146"/>
      <c r="AN84" s="146"/>
      <c r="AO84" s="146"/>
      <c r="AP84" s="146"/>
      <c r="AQ84" s="146"/>
      <c r="AR84" s="146"/>
    </row>
    <row r="85" spans="1:44">
      <c r="A85" s="146"/>
      <c r="B85" s="146"/>
      <c r="C85" s="146"/>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90"/>
      <c r="AI85" s="146"/>
      <c r="AJ85" s="147"/>
      <c r="AK85" s="146"/>
      <c r="AL85" s="146"/>
      <c r="AM85" s="146"/>
      <c r="AN85" s="146"/>
      <c r="AO85" s="146"/>
      <c r="AP85" s="146"/>
      <c r="AQ85" s="146"/>
      <c r="AR85" s="146"/>
    </row>
    <row r="86" spans="1:44">
      <c r="A86" s="146"/>
      <c r="B86" s="146"/>
      <c r="C86" s="146"/>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90"/>
      <c r="AI86" s="146"/>
      <c r="AJ86" s="147"/>
      <c r="AK86" s="146"/>
      <c r="AL86" s="146"/>
      <c r="AM86" s="146"/>
      <c r="AN86" s="146"/>
      <c r="AO86" s="146"/>
      <c r="AP86" s="146"/>
      <c r="AQ86" s="146"/>
      <c r="AR86" s="146"/>
    </row>
    <row r="87" spans="1:44">
      <c r="A87" s="146"/>
      <c r="B87" s="146"/>
      <c r="C87" s="146"/>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90"/>
      <c r="AI87" s="146"/>
      <c r="AK87" s="146"/>
      <c r="AL87" s="146"/>
      <c r="AM87" s="146"/>
      <c r="AN87" s="146"/>
      <c r="AO87" s="146"/>
      <c r="AP87" s="146"/>
      <c r="AQ87" s="146"/>
      <c r="AR87" s="146"/>
    </row>
    <row r="88" spans="1:44">
      <c r="A88" s="146"/>
      <c r="B88" s="146"/>
      <c r="C88" s="146"/>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90"/>
      <c r="AI88" s="146"/>
      <c r="AK88" s="146"/>
      <c r="AL88" s="146"/>
      <c r="AM88" s="146"/>
      <c r="AN88" s="146"/>
      <c r="AO88" s="146"/>
      <c r="AP88" s="146"/>
      <c r="AQ88" s="146"/>
      <c r="AR88" s="146"/>
    </row>
    <row r="89" spans="1:44">
      <c r="A89" s="146"/>
      <c r="B89" s="146"/>
      <c r="C89" s="146"/>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90"/>
      <c r="AI89" s="146"/>
      <c r="AK89" s="146"/>
      <c r="AL89" s="146"/>
      <c r="AM89" s="146"/>
      <c r="AN89" s="146"/>
      <c r="AO89" s="146"/>
      <c r="AP89" s="146"/>
      <c r="AQ89" s="146"/>
      <c r="AR89" s="146"/>
    </row>
    <row r="90" spans="1:44">
      <c r="A90" s="146"/>
      <c r="B90" s="146"/>
      <c r="C90" s="146"/>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90"/>
      <c r="AI90" s="146"/>
      <c r="AK90" s="146"/>
      <c r="AL90" s="146"/>
      <c r="AM90" s="146"/>
      <c r="AN90" s="146"/>
      <c r="AO90" s="146"/>
      <c r="AP90" s="146"/>
      <c r="AQ90" s="146"/>
      <c r="AR90" s="146"/>
    </row>
    <row r="91" spans="1:44">
      <c r="A91" s="146"/>
      <c r="B91" s="146"/>
      <c r="C91" s="146"/>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90"/>
      <c r="AI91" s="146"/>
      <c r="AK91" s="146"/>
      <c r="AL91" s="146"/>
      <c r="AM91" s="146"/>
      <c r="AN91" s="146"/>
      <c r="AO91" s="146"/>
      <c r="AP91" s="146"/>
      <c r="AQ91" s="146"/>
      <c r="AR91" s="146"/>
    </row>
    <row r="92" spans="1:44">
      <c r="A92" s="146"/>
      <c r="B92" s="146"/>
      <c r="C92" s="146"/>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90"/>
      <c r="AI92" s="146"/>
      <c r="AK92" s="146"/>
      <c r="AL92" s="146"/>
      <c r="AM92" s="146"/>
      <c r="AN92" s="146"/>
      <c r="AO92" s="146"/>
      <c r="AP92" s="146"/>
      <c r="AQ92" s="146"/>
      <c r="AR92" s="146"/>
    </row>
    <row r="93" spans="1:44">
      <c r="A93" s="146"/>
      <c r="B93" s="146"/>
      <c r="C93" s="146"/>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90"/>
      <c r="AI93" s="146"/>
      <c r="AK93" s="146"/>
      <c r="AL93" s="146"/>
      <c r="AM93" s="146"/>
      <c r="AN93" s="146"/>
      <c r="AO93" s="146"/>
      <c r="AP93" s="146"/>
      <c r="AQ93" s="146"/>
      <c r="AR93" s="146"/>
    </row>
    <row r="94" spans="1:44">
      <c r="A94" s="146"/>
      <c r="B94" s="146"/>
      <c r="C94" s="146"/>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90"/>
      <c r="AI94" s="146"/>
      <c r="AK94" s="146"/>
      <c r="AL94" s="146"/>
      <c r="AM94" s="146"/>
      <c r="AN94" s="146"/>
      <c r="AO94" s="146"/>
      <c r="AP94" s="146"/>
      <c r="AQ94" s="146"/>
      <c r="AR94" s="146"/>
    </row>
    <row r="95" spans="1:44">
      <c r="A95" s="146"/>
      <c r="B95" s="146"/>
      <c r="C95" s="146"/>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90"/>
      <c r="AI95" s="146"/>
      <c r="AK95" s="146"/>
      <c r="AL95" s="146"/>
      <c r="AM95" s="146"/>
      <c r="AN95" s="146"/>
      <c r="AO95" s="146"/>
      <c r="AP95" s="146"/>
      <c r="AQ95" s="146"/>
      <c r="AR95" s="146"/>
    </row>
    <row r="96" spans="1:44">
      <c r="B96" s="146"/>
      <c r="C96" s="146"/>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90"/>
      <c r="AI96" s="146"/>
      <c r="AK96" s="146"/>
      <c r="AL96" s="146"/>
      <c r="AM96" s="146"/>
      <c r="AN96" s="146"/>
      <c r="AO96" s="146"/>
      <c r="AP96" s="146"/>
      <c r="AQ96" s="146"/>
      <c r="AR96" s="146"/>
    </row>
    <row r="97" spans="2:44">
      <c r="B97" s="146"/>
      <c r="C97" s="146"/>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90"/>
      <c r="AI97" s="146"/>
      <c r="AK97" s="146"/>
      <c r="AL97" s="146"/>
      <c r="AM97" s="146"/>
      <c r="AN97" s="146"/>
      <c r="AO97" s="146"/>
      <c r="AP97" s="146"/>
      <c r="AQ97" s="146"/>
      <c r="AR97" s="146"/>
    </row>
    <row r="98" spans="2:44">
      <c r="B98" s="146"/>
      <c r="C98" s="146"/>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90"/>
      <c r="AI98" s="146"/>
      <c r="AK98" s="146"/>
      <c r="AL98" s="146"/>
      <c r="AM98" s="146"/>
      <c r="AN98" s="146"/>
      <c r="AO98" s="146"/>
      <c r="AP98" s="146"/>
      <c r="AQ98" s="146"/>
      <c r="AR98" s="146"/>
    </row>
    <row r="99" spans="2:44">
      <c r="B99" s="146"/>
      <c r="C99" s="146"/>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90"/>
      <c r="AI99" s="146"/>
      <c r="AK99" s="146"/>
      <c r="AL99" s="146"/>
      <c r="AM99" s="146"/>
      <c r="AN99" s="146"/>
      <c r="AO99" s="146"/>
      <c r="AP99" s="146"/>
      <c r="AQ99" s="146"/>
      <c r="AR99" s="146"/>
    </row>
    <row r="100" spans="2:44">
      <c r="B100" s="146"/>
      <c r="C100" s="146"/>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90"/>
      <c r="AI100" s="146"/>
      <c r="AK100" s="146"/>
      <c r="AL100" s="146"/>
      <c r="AM100" s="146"/>
      <c r="AN100" s="146"/>
      <c r="AO100" s="146"/>
      <c r="AP100" s="146"/>
      <c r="AQ100" s="146"/>
      <c r="AR100" s="146"/>
    </row>
    <row r="101" spans="2:44">
      <c r="B101" s="146"/>
      <c r="C101" s="146"/>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90"/>
      <c r="AI101" s="146"/>
      <c r="AK101" s="146"/>
      <c r="AL101" s="146"/>
      <c r="AM101" s="146"/>
      <c r="AN101" s="146"/>
      <c r="AO101" s="146"/>
      <c r="AP101" s="146"/>
      <c r="AQ101" s="146"/>
      <c r="AR101" s="146"/>
    </row>
    <row r="102" spans="2:44">
      <c r="B102" s="146"/>
      <c r="C102" s="146"/>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90"/>
      <c r="AI102" s="146"/>
      <c r="AK102" s="146"/>
      <c r="AL102" s="146"/>
      <c r="AM102" s="146"/>
      <c r="AN102" s="146"/>
      <c r="AO102" s="146"/>
      <c r="AP102" s="146"/>
      <c r="AQ102" s="146"/>
      <c r="AR102" s="146"/>
    </row>
    <row r="103" spans="2:44">
      <c r="B103" s="146"/>
      <c r="C103" s="146"/>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90"/>
      <c r="AI103" s="146"/>
      <c r="AK103" s="146"/>
      <c r="AL103" s="146"/>
      <c r="AM103" s="146"/>
      <c r="AN103" s="146"/>
      <c r="AO103" s="146"/>
      <c r="AP103" s="146"/>
      <c r="AQ103" s="146"/>
      <c r="AR103" s="146"/>
    </row>
    <row r="104" spans="2:44">
      <c r="B104" s="146"/>
      <c r="C104" s="146"/>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90"/>
      <c r="AI104" s="146"/>
      <c r="AK104" s="146"/>
      <c r="AL104" s="146"/>
      <c r="AM104" s="146"/>
      <c r="AN104" s="146"/>
      <c r="AO104" s="146"/>
      <c r="AP104" s="146"/>
      <c r="AQ104" s="146"/>
      <c r="AR104" s="146"/>
    </row>
    <row r="105" spans="2:44">
      <c r="B105" s="146"/>
      <c r="C105" s="146"/>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90"/>
      <c r="AI105" s="146"/>
      <c r="AK105" s="146"/>
      <c r="AL105" s="146"/>
      <c r="AM105" s="146"/>
      <c r="AN105" s="146"/>
      <c r="AO105" s="146"/>
      <c r="AP105" s="146"/>
      <c r="AQ105" s="146"/>
      <c r="AR105" s="146"/>
    </row>
    <row r="106" spans="2:44">
      <c r="B106" s="146"/>
      <c r="C106" s="146"/>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90"/>
      <c r="AI106" s="146"/>
      <c r="AK106" s="146"/>
      <c r="AL106" s="146"/>
      <c r="AM106" s="146"/>
      <c r="AN106" s="146"/>
      <c r="AO106" s="146"/>
      <c r="AP106" s="146"/>
      <c r="AQ106" s="146"/>
      <c r="AR106" s="146"/>
    </row>
    <row r="107" spans="2:44">
      <c r="B107" s="146"/>
      <c r="C107" s="146"/>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90"/>
      <c r="AI107" s="146"/>
      <c r="AK107" s="146"/>
      <c r="AL107" s="146"/>
      <c r="AM107" s="146"/>
      <c r="AN107" s="146"/>
      <c r="AO107" s="146"/>
      <c r="AP107" s="146"/>
      <c r="AQ107" s="146"/>
      <c r="AR107" s="146"/>
    </row>
    <row r="108" spans="2:44">
      <c r="B108" s="146"/>
      <c r="C108" s="146"/>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90"/>
      <c r="AI108" s="146"/>
      <c r="AK108" s="146"/>
      <c r="AL108" s="146"/>
      <c r="AM108" s="146"/>
      <c r="AN108" s="146"/>
      <c r="AO108" s="146"/>
      <c r="AP108" s="146"/>
      <c r="AQ108" s="146"/>
      <c r="AR108" s="146"/>
    </row>
    <row r="109" spans="2:44">
      <c r="B109" s="146"/>
      <c r="C109" s="146"/>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90"/>
      <c r="AI109" s="146"/>
      <c r="AK109" s="146"/>
      <c r="AL109" s="146"/>
      <c r="AM109" s="146"/>
      <c r="AN109" s="146"/>
      <c r="AO109" s="146"/>
      <c r="AP109" s="146"/>
      <c r="AQ109" s="146"/>
      <c r="AR109" s="146"/>
    </row>
    <row r="110" spans="2:44">
      <c r="B110" s="146"/>
      <c r="C110" s="146"/>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90"/>
      <c r="AI110" s="146"/>
      <c r="AK110" s="146"/>
      <c r="AL110" s="146"/>
      <c r="AM110" s="146"/>
      <c r="AN110" s="146"/>
      <c r="AO110" s="146"/>
      <c r="AP110" s="146"/>
      <c r="AQ110" s="146"/>
      <c r="AR110" s="146"/>
    </row>
    <row r="111" spans="2:44">
      <c r="B111" s="146"/>
      <c r="C111" s="146"/>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90"/>
      <c r="AI111" s="146"/>
      <c r="AK111" s="146"/>
      <c r="AL111" s="146"/>
      <c r="AM111" s="146"/>
      <c r="AN111" s="146"/>
      <c r="AO111" s="146"/>
      <c r="AP111" s="146"/>
      <c r="AQ111" s="146"/>
      <c r="AR111" s="146"/>
    </row>
    <row r="112" spans="2:44">
      <c r="B112" s="146"/>
      <c r="C112" s="146"/>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90"/>
      <c r="AI112" s="146"/>
      <c r="AK112" s="146"/>
      <c r="AL112" s="146"/>
      <c r="AM112" s="146"/>
      <c r="AN112" s="146"/>
      <c r="AO112" s="146"/>
      <c r="AP112" s="146"/>
      <c r="AQ112" s="146"/>
      <c r="AR112" s="146"/>
    </row>
    <row r="113" spans="2:44">
      <c r="B113" s="146"/>
      <c r="C113" s="146"/>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90"/>
      <c r="AI113" s="146"/>
      <c r="AK113" s="146"/>
      <c r="AL113" s="146"/>
      <c r="AM113" s="146"/>
      <c r="AN113" s="146"/>
      <c r="AO113" s="146"/>
      <c r="AP113" s="146"/>
      <c r="AQ113" s="146"/>
      <c r="AR113" s="146"/>
    </row>
    <row r="114" spans="2:44">
      <c r="B114" s="146"/>
      <c r="C114" s="146"/>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90"/>
      <c r="AI114" s="146"/>
      <c r="AK114" s="146"/>
      <c r="AL114" s="146"/>
      <c r="AM114" s="146"/>
      <c r="AN114" s="146"/>
      <c r="AO114" s="146"/>
      <c r="AP114" s="146"/>
      <c r="AQ114" s="146"/>
      <c r="AR114" s="146"/>
    </row>
    <row r="115" spans="2:44">
      <c r="B115" s="146"/>
      <c r="C115" s="146"/>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90"/>
      <c r="AI115" s="146"/>
      <c r="AK115" s="146"/>
      <c r="AL115" s="146"/>
      <c r="AM115" s="146"/>
      <c r="AN115" s="146"/>
      <c r="AO115" s="146"/>
      <c r="AP115" s="146"/>
      <c r="AQ115" s="146"/>
      <c r="AR115" s="146"/>
    </row>
    <row r="116" spans="2:44">
      <c r="B116" s="146"/>
      <c r="C116" s="146"/>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90"/>
      <c r="AI116" s="146"/>
      <c r="AK116" s="146"/>
      <c r="AL116" s="146"/>
      <c r="AM116" s="146"/>
      <c r="AN116" s="146"/>
      <c r="AO116" s="146"/>
      <c r="AP116" s="146"/>
      <c r="AQ116" s="146"/>
      <c r="AR116" s="146"/>
    </row>
    <row r="117" spans="2:44">
      <c r="B117" s="146"/>
      <c r="C117" s="146"/>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90"/>
      <c r="AI117" s="146"/>
      <c r="AK117" s="146"/>
      <c r="AL117" s="146"/>
      <c r="AM117" s="146"/>
      <c r="AN117" s="146"/>
      <c r="AO117" s="146"/>
      <c r="AP117" s="146"/>
      <c r="AQ117" s="146"/>
      <c r="AR117" s="146"/>
    </row>
    <row r="118" spans="2:44">
      <c r="B118" s="146"/>
      <c r="C118" s="146"/>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90"/>
      <c r="AI118" s="146"/>
      <c r="AK118" s="146"/>
      <c r="AL118" s="146"/>
      <c r="AM118" s="146"/>
      <c r="AN118" s="146"/>
      <c r="AO118" s="146"/>
      <c r="AP118" s="146"/>
      <c r="AQ118" s="146"/>
      <c r="AR118" s="146"/>
    </row>
    <row r="119" spans="2:44">
      <c r="B119" s="146"/>
      <c r="C119" s="146"/>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90"/>
      <c r="AI119" s="146"/>
      <c r="AK119" s="146"/>
      <c r="AL119" s="146"/>
      <c r="AM119" s="146"/>
      <c r="AN119" s="146"/>
      <c r="AO119" s="146"/>
      <c r="AP119" s="146"/>
      <c r="AQ119" s="146"/>
      <c r="AR119" s="146"/>
    </row>
    <row r="120" spans="2:44">
      <c r="B120" s="146"/>
      <c r="C120" s="146"/>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90"/>
      <c r="AI120" s="146"/>
      <c r="AK120" s="146"/>
      <c r="AL120" s="146"/>
      <c r="AM120" s="146"/>
      <c r="AN120" s="146"/>
      <c r="AO120" s="146"/>
      <c r="AP120" s="146"/>
      <c r="AQ120" s="146"/>
      <c r="AR120" s="146"/>
    </row>
    <row r="121" spans="2:44">
      <c r="B121" s="146"/>
      <c r="C121" s="146"/>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90"/>
      <c r="AI121" s="146"/>
      <c r="AK121" s="146"/>
      <c r="AL121" s="146"/>
      <c r="AM121" s="146"/>
      <c r="AN121" s="146"/>
      <c r="AO121" s="146"/>
      <c r="AP121" s="146"/>
      <c r="AQ121" s="146"/>
      <c r="AR121" s="146"/>
    </row>
    <row r="122" spans="2:44">
      <c r="B122" s="146"/>
      <c r="C122" s="146"/>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90"/>
      <c r="AI122" s="146"/>
      <c r="AK122" s="146"/>
      <c r="AL122" s="146"/>
      <c r="AM122" s="146"/>
      <c r="AN122" s="146"/>
      <c r="AO122" s="146"/>
      <c r="AP122" s="146"/>
      <c r="AQ122" s="146"/>
      <c r="AR122" s="146"/>
    </row>
    <row r="123" spans="2:44">
      <c r="B123" s="146"/>
      <c r="C123" s="146"/>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90"/>
      <c r="AI123" s="146"/>
      <c r="AK123" s="146"/>
      <c r="AL123" s="146"/>
      <c r="AM123" s="146"/>
      <c r="AN123" s="146"/>
      <c r="AO123" s="146"/>
      <c r="AP123" s="146"/>
      <c r="AQ123" s="146"/>
      <c r="AR123" s="146"/>
    </row>
    <row r="124" spans="2:44">
      <c r="B124" s="146"/>
      <c r="C124" s="146"/>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90"/>
      <c r="AI124" s="146"/>
      <c r="AK124" s="146"/>
      <c r="AL124" s="146"/>
      <c r="AM124" s="146"/>
      <c r="AN124" s="146"/>
      <c r="AO124" s="146"/>
      <c r="AP124" s="146"/>
      <c r="AQ124" s="146"/>
      <c r="AR124" s="146"/>
    </row>
    <row r="125" spans="2:44">
      <c r="B125" s="146"/>
      <c r="C125" s="146"/>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90"/>
      <c r="AI125" s="146"/>
      <c r="AK125" s="146"/>
      <c r="AL125" s="146"/>
      <c r="AM125" s="146"/>
      <c r="AN125" s="146"/>
      <c r="AO125" s="146"/>
      <c r="AP125" s="146"/>
      <c r="AQ125" s="146"/>
      <c r="AR125" s="146"/>
    </row>
    <row r="126" spans="2:44">
      <c r="B126" s="146"/>
      <c r="C126" s="146"/>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90"/>
      <c r="AI126" s="146"/>
      <c r="AK126" s="146"/>
      <c r="AL126" s="146"/>
      <c r="AM126" s="146"/>
      <c r="AN126" s="146"/>
      <c r="AO126" s="146"/>
      <c r="AP126" s="146"/>
      <c r="AQ126" s="146"/>
      <c r="AR126" s="146"/>
    </row>
    <row r="127" spans="2:44">
      <c r="B127" s="146"/>
      <c r="C127" s="146"/>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145"/>
      <c r="AE127" s="145"/>
      <c r="AF127" s="145"/>
      <c r="AG127" s="145"/>
      <c r="AH127" s="190"/>
      <c r="AI127" s="146"/>
      <c r="AK127" s="146"/>
      <c r="AL127" s="146"/>
      <c r="AM127" s="146"/>
      <c r="AN127" s="146"/>
      <c r="AO127" s="146"/>
      <c r="AP127" s="146"/>
      <c r="AQ127" s="146"/>
      <c r="AR127" s="146"/>
    </row>
    <row r="128" spans="2:44">
      <c r="B128" s="146"/>
      <c r="C128" s="146"/>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c r="AH128" s="190"/>
      <c r="AI128" s="146"/>
      <c r="AK128" s="146"/>
      <c r="AL128" s="146"/>
      <c r="AM128" s="146"/>
      <c r="AN128" s="146"/>
      <c r="AO128" s="146"/>
      <c r="AP128" s="146"/>
      <c r="AQ128" s="146"/>
      <c r="AR128" s="146"/>
    </row>
    <row r="129" spans="2:44">
      <c r="B129" s="146"/>
      <c r="C129" s="146"/>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c r="AB129" s="145"/>
      <c r="AC129" s="145"/>
      <c r="AD129" s="145"/>
      <c r="AE129" s="145"/>
      <c r="AF129" s="145"/>
      <c r="AG129" s="145"/>
      <c r="AH129" s="190"/>
      <c r="AI129" s="146"/>
      <c r="AK129" s="146"/>
      <c r="AL129" s="146"/>
      <c r="AM129" s="146"/>
      <c r="AN129" s="146"/>
      <c r="AO129" s="146"/>
      <c r="AP129" s="146"/>
      <c r="AQ129" s="146"/>
      <c r="AR129" s="146"/>
    </row>
    <row r="130" spans="2:44">
      <c r="B130" s="146"/>
      <c r="C130" s="146"/>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c r="AA130" s="145"/>
      <c r="AB130" s="145"/>
      <c r="AC130" s="145"/>
      <c r="AD130" s="145"/>
      <c r="AE130" s="145"/>
      <c r="AF130" s="145"/>
      <c r="AG130" s="145"/>
      <c r="AH130" s="190"/>
      <c r="AI130" s="146"/>
      <c r="AK130" s="146"/>
      <c r="AL130" s="146"/>
      <c r="AM130" s="146"/>
      <c r="AN130" s="146"/>
      <c r="AO130" s="146"/>
      <c r="AP130" s="146"/>
      <c r="AQ130" s="146"/>
      <c r="AR130" s="146"/>
    </row>
    <row r="131" spans="2:44">
      <c r="B131" s="146"/>
      <c r="C131" s="146"/>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90"/>
      <c r="AI131" s="146"/>
      <c r="AK131" s="146"/>
      <c r="AL131" s="146"/>
      <c r="AM131" s="146"/>
      <c r="AN131" s="146"/>
      <c r="AO131" s="146"/>
      <c r="AP131" s="146"/>
      <c r="AQ131" s="146"/>
      <c r="AR131" s="146"/>
    </row>
    <row r="132" spans="2:44">
      <c r="B132" s="146"/>
      <c r="C132" s="146"/>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90"/>
      <c r="AI132" s="146"/>
      <c r="AK132" s="146"/>
      <c r="AL132" s="146"/>
      <c r="AM132" s="146"/>
      <c r="AN132" s="146"/>
      <c r="AO132" s="146"/>
      <c r="AP132" s="146"/>
      <c r="AQ132" s="146"/>
      <c r="AR132" s="146"/>
    </row>
    <row r="133" spans="2:44">
      <c r="B133" s="146"/>
      <c r="C133" s="146"/>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90"/>
      <c r="AI133" s="146"/>
      <c r="AK133" s="146"/>
      <c r="AL133" s="146"/>
      <c r="AM133" s="146"/>
      <c r="AN133" s="146"/>
      <c r="AO133" s="146"/>
      <c r="AP133" s="146"/>
      <c r="AQ133" s="146"/>
      <c r="AR133" s="146"/>
    </row>
    <row r="134" spans="2:44">
      <c r="B134" s="146"/>
      <c r="C134" s="146"/>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90"/>
      <c r="AI134" s="146"/>
      <c r="AK134" s="146"/>
      <c r="AL134" s="146"/>
      <c r="AM134" s="146"/>
      <c r="AN134" s="146"/>
      <c r="AO134" s="146"/>
      <c r="AP134" s="146"/>
      <c r="AQ134" s="146"/>
      <c r="AR134" s="146"/>
    </row>
    <row r="135" spans="2:44">
      <c r="B135" s="146"/>
      <c r="C135" s="146"/>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145"/>
      <c r="AD135" s="145"/>
      <c r="AE135" s="145"/>
      <c r="AF135" s="145"/>
      <c r="AG135" s="145"/>
      <c r="AH135" s="190"/>
      <c r="AI135" s="146"/>
      <c r="AK135" s="146"/>
      <c r="AL135" s="146"/>
      <c r="AM135" s="146"/>
      <c r="AN135" s="146"/>
      <c r="AO135" s="146"/>
      <c r="AP135" s="146"/>
      <c r="AQ135" s="146"/>
      <c r="AR135" s="146"/>
    </row>
    <row r="136" spans="2:44">
      <c r="B136" s="146"/>
      <c r="C136" s="146"/>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90"/>
      <c r="AI136" s="146"/>
      <c r="AK136" s="146"/>
      <c r="AL136" s="146"/>
      <c r="AM136" s="146"/>
      <c r="AN136" s="146"/>
      <c r="AO136" s="146"/>
      <c r="AP136" s="146"/>
      <c r="AQ136" s="146"/>
      <c r="AR136" s="146"/>
    </row>
    <row r="137" spans="2:44">
      <c r="B137" s="146"/>
      <c r="C137" s="146"/>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c r="AA137" s="145"/>
      <c r="AB137" s="145"/>
      <c r="AC137" s="145"/>
      <c r="AD137" s="145"/>
      <c r="AE137" s="145"/>
      <c r="AF137" s="145"/>
      <c r="AG137" s="145"/>
      <c r="AH137" s="190"/>
      <c r="AI137" s="146"/>
      <c r="AK137" s="146"/>
      <c r="AL137" s="146"/>
      <c r="AM137" s="146"/>
      <c r="AN137" s="146"/>
      <c r="AO137" s="146"/>
      <c r="AP137" s="146"/>
      <c r="AQ137" s="146"/>
      <c r="AR137" s="146"/>
    </row>
    <row r="138" spans="2:44">
      <c r="B138" s="146"/>
      <c r="C138" s="146"/>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AA138" s="145"/>
      <c r="AB138" s="145"/>
      <c r="AC138" s="145"/>
      <c r="AD138" s="145"/>
      <c r="AE138" s="145"/>
      <c r="AF138" s="145"/>
      <c r="AG138" s="145"/>
      <c r="AH138" s="190"/>
      <c r="AI138" s="146"/>
      <c r="AK138" s="146"/>
      <c r="AL138" s="146"/>
      <c r="AM138" s="146"/>
      <c r="AN138" s="146"/>
      <c r="AO138" s="146"/>
      <c r="AP138" s="146"/>
      <c r="AQ138" s="146"/>
      <c r="AR138" s="146"/>
    </row>
    <row r="139" spans="2:44">
      <c r="B139" s="146"/>
      <c r="C139" s="146"/>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90"/>
      <c r="AI139" s="146"/>
      <c r="AK139" s="146"/>
      <c r="AL139" s="146"/>
      <c r="AM139" s="146"/>
      <c r="AN139" s="146"/>
      <c r="AO139" s="146"/>
      <c r="AP139" s="146"/>
      <c r="AQ139" s="146"/>
      <c r="AR139" s="146"/>
    </row>
    <row r="140" spans="2:44">
      <c r="B140" s="146"/>
      <c r="C140" s="146"/>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90"/>
      <c r="AI140" s="146"/>
      <c r="AK140" s="146"/>
      <c r="AL140" s="146"/>
      <c r="AM140" s="146"/>
      <c r="AN140" s="146"/>
      <c r="AO140" s="146"/>
      <c r="AP140" s="146"/>
      <c r="AQ140" s="146"/>
      <c r="AR140" s="146"/>
    </row>
    <row r="141" spans="2:44">
      <c r="B141" s="146"/>
      <c r="C141" s="146"/>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90"/>
      <c r="AI141" s="146"/>
      <c r="AK141" s="146"/>
      <c r="AL141" s="146"/>
      <c r="AM141" s="146"/>
      <c r="AN141" s="146"/>
      <c r="AO141" s="146"/>
      <c r="AP141" s="146"/>
      <c r="AQ141" s="146"/>
      <c r="AR141" s="146"/>
    </row>
    <row r="142" spans="2:44">
      <c r="B142" s="146"/>
      <c r="C142" s="146"/>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90"/>
      <c r="AI142" s="146"/>
      <c r="AK142" s="146"/>
      <c r="AL142" s="146"/>
      <c r="AM142" s="146"/>
      <c r="AN142" s="146"/>
      <c r="AO142" s="146"/>
      <c r="AP142" s="146"/>
      <c r="AQ142" s="146"/>
      <c r="AR142" s="146"/>
    </row>
    <row r="143" spans="2:44">
      <c r="B143" s="146"/>
      <c r="C143" s="146"/>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c r="AA143" s="145"/>
      <c r="AB143" s="145"/>
      <c r="AC143" s="145"/>
      <c r="AD143" s="145"/>
      <c r="AE143" s="145"/>
      <c r="AF143" s="145"/>
      <c r="AG143" s="145"/>
      <c r="AH143" s="190"/>
      <c r="AI143" s="146"/>
      <c r="AK143" s="146"/>
      <c r="AL143" s="146"/>
      <c r="AM143" s="146"/>
      <c r="AN143" s="146"/>
      <c r="AO143" s="146"/>
      <c r="AP143" s="146"/>
      <c r="AQ143" s="146"/>
      <c r="AR143" s="146"/>
    </row>
    <row r="144" spans="2:44">
      <c r="B144" s="146"/>
      <c r="C144" s="146"/>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c r="AA144" s="145"/>
      <c r="AB144" s="145"/>
      <c r="AC144" s="145"/>
      <c r="AD144" s="145"/>
      <c r="AE144" s="145"/>
      <c r="AF144" s="145"/>
      <c r="AG144" s="145"/>
      <c r="AH144" s="190"/>
      <c r="AI144" s="146"/>
      <c r="AK144" s="146"/>
      <c r="AL144" s="146"/>
      <c r="AM144" s="146"/>
      <c r="AN144" s="146"/>
      <c r="AO144" s="146"/>
      <c r="AP144" s="146"/>
      <c r="AQ144" s="146"/>
      <c r="AR144" s="146"/>
    </row>
    <row r="145" spans="2:44">
      <c r="B145" s="146"/>
      <c r="C145" s="146"/>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5"/>
      <c r="AD145" s="145"/>
      <c r="AE145" s="145"/>
      <c r="AF145" s="145"/>
      <c r="AG145" s="145"/>
      <c r="AH145" s="190"/>
      <c r="AI145" s="146"/>
      <c r="AK145" s="146"/>
      <c r="AL145" s="146"/>
      <c r="AM145" s="146"/>
      <c r="AN145" s="146"/>
      <c r="AO145" s="146"/>
      <c r="AP145" s="146"/>
      <c r="AQ145" s="146"/>
      <c r="AR145" s="146"/>
    </row>
    <row r="146" spans="2:44">
      <c r="B146" s="146"/>
      <c r="C146" s="146"/>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c r="AA146" s="145"/>
      <c r="AB146" s="145"/>
      <c r="AC146" s="145"/>
      <c r="AD146" s="145"/>
      <c r="AE146" s="145"/>
      <c r="AF146" s="145"/>
      <c r="AG146" s="145"/>
      <c r="AH146" s="190"/>
      <c r="AI146" s="146"/>
      <c r="AK146" s="146"/>
      <c r="AL146" s="146"/>
      <c r="AM146" s="146"/>
      <c r="AN146" s="146"/>
      <c r="AO146" s="146"/>
      <c r="AP146" s="146"/>
      <c r="AQ146" s="146"/>
      <c r="AR146" s="146"/>
    </row>
    <row r="147" spans="2:44">
      <c r="B147" s="146"/>
      <c r="C147" s="146"/>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c r="AA147" s="145"/>
      <c r="AB147" s="145"/>
      <c r="AC147" s="145"/>
      <c r="AD147" s="145"/>
      <c r="AE147" s="145"/>
      <c r="AF147" s="145"/>
      <c r="AG147" s="145"/>
      <c r="AH147" s="190"/>
      <c r="AI147" s="146"/>
      <c r="AK147" s="146"/>
      <c r="AL147" s="146"/>
      <c r="AM147" s="146"/>
      <c r="AN147" s="146"/>
      <c r="AO147" s="146"/>
      <c r="AP147" s="146"/>
      <c r="AQ147" s="146"/>
      <c r="AR147" s="146"/>
    </row>
    <row r="148" spans="2:44">
      <c r="B148" s="146"/>
      <c r="C148" s="146"/>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c r="AA148" s="145"/>
      <c r="AB148" s="145"/>
      <c r="AC148" s="145"/>
      <c r="AD148" s="145"/>
      <c r="AE148" s="145"/>
      <c r="AF148" s="145"/>
      <c r="AG148" s="145"/>
      <c r="AH148" s="190"/>
      <c r="AI148" s="146"/>
      <c r="AK148" s="146"/>
      <c r="AL148" s="146"/>
      <c r="AM148" s="146"/>
      <c r="AN148" s="146"/>
      <c r="AO148" s="146"/>
      <c r="AP148" s="146"/>
      <c r="AQ148" s="146"/>
      <c r="AR148" s="146"/>
    </row>
    <row r="149" spans="2:44">
      <c r="B149" s="146"/>
      <c r="C149" s="146"/>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c r="AC149" s="145"/>
      <c r="AD149" s="145"/>
      <c r="AE149" s="145"/>
      <c r="AF149" s="145"/>
      <c r="AG149" s="145"/>
      <c r="AH149" s="190"/>
      <c r="AI149" s="146"/>
      <c r="AK149" s="146"/>
      <c r="AL149" s="146"/>
      <c r="AM149" s="146"/>
      <c r="AN149" s="146"/>
      <c r="AO149" s="146"/>
      <c r="AP149" s="146"/>
      <c r="AQ149" s="146"/>
      <c r="AR149" s="146"/>
    </row>
  </sheetData>
  <mergeCells count="14">
    <mergeCell ref="C1:G1"/>
    <mergeCell ref="B3:J3"/>
    <mergeCell ref="C6:J6"/>
    <mergeCell ref="D8:F8"/>
    <mergeCell ref="G8:I8"/>
    <mergeCell ref="J8:L8"/>
    <mergeCell ref="Y8:AA8"/>
    <mergeCell ref="AE8:AG8"/>
    <mergeCell ref="AH8:AJ8"/>
    <mergeCell ref="M8:O8"/>
    <mergeCell ref="P8:R8"/>
    <mergeCell ref="S8:U8"/>
    <mergeCell ref="V8:X8"/>
    <mergeCell ref="AB8:AD8"/>
  </mergeCells>
  <phoneticPr fontId="37" type="noConversion"/>
  <pageMargins left="0.74791666666666667" right="0.74791666666666667" top="0.98402777777777772" bottom="0.98402777777777772" header="0.51180555555555551" footer="0.51180555555555551"/>
  <pageSetup paperSize="9" scale="70" firstPageNumber="0" orientation="landscape" horizontalDpi="300" verticalDpi="300"/>
  <headerFooter alignWithMargins="0"/>
  <colBreaks count="2" manualBreakCount="2">
    <brk id="15" max="1048575" man="1"/>
    <brk id="33" max="1048575" man="1"/>
  </colBreaks>
  <legacy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AY90"/>
  <sheetViews>
    <sheetView zoomScale="80" zoomScaleNormal="80" workbookViewId="0">
      <selection activeCell="B3" sqref="B3:G3"/>
    </sheetView>
  </sheetViews>
  <sheetFormatPr defaultRowHeight="12.75"/>
  <cols>
    <col min="1" max="1" width="4.1640625" customWidth="1"/>
    <col min="2" max="2" width="50.33203125" customWidth="1"/>
    <col min="3" max="3" width="9.83203125" customWidth="1"/>
    <col min="4" max="4" width="22.1640625" style="702" customWidth="1"/>
    <col min="5" max="5" width="21" customWidth="1"/>
    <col min="6" max="6" width="3.83203125" customWidth="1"/>
    <col min="7" max="7" width="45.6640625" customWidth="1"/>
    <col min="8" max="8" width="12.83203125" customWidth="1"/>
  </cols>
  <sheetData>
    <row r="1" spans="1:51" s="57" customFormat="1" ht="15">
      <c r="A1" s="50"/>
      <c r="B1" s="51" t="s">
        <v>443</v>
      </c>
      <c r="C1" s="937" t="str">
        <f>Ogolne!D5</f>
        <v>Bydgoszcz</v>
      </c>
      <c r="D1" s="937"/>
      <c r="E1" s="937"/>
      <c r="F1" s="937"/>
      <c r="G1" s="278"/>
      <c r="H1" s="52"/>
      <c r="I1" s="52"/>
      <c r="J1" s="52"/>
      <c r="K1" s="52"/>
      <c r="L1" s="52"/>
      <c r="M1" s="52"/>
      <c r="N1" s="52"/>
      <c r="O1" s="52"/>
      <c r="P1" s="54"/>
      <c r="Q1" s="52"/>
      <c r="R1" s="52"/>
      <c r="S1" s="52"/>
      <c r="T1" s="52"/>
      <c r="U1" s="52"/>
      <c r="V1" s="52"/>
      <c r="W1" s="52"/>
      <c r="X1" s="52"/>
      <c r="Y1" s="52"/>
      <c r="Z1" s="52"/>
      <c r="AA1" s="52"/>
      <c r="AB1" s="50"/>
      <c r="AC1" s="50"/>
      <c r="AD1" s="50"/>
      <c r="AE1" s="50"/>
      <c r="AF1" s="50"/>
      <c r="AG1" s="50"/>
      <c r="AH1" s="50"/>
      <c r="AI1" s="50"/>
      <c r="AJ1" s="55"/>
      <c r="AK1" s="55"/>
      <c r="AL1" s="55"/>
      <c r="AM1" s="55"/>
      <c r="AN1" s="55"/>
      <c r="AO1" s="55"/>
      <c r="AP1" s="50"/>
      <c r="AQ1" s="56"/>
      <c r="AR1" s="50"/>
      <c r="AS1" s="50"/>
      <c r="AT1" s="50"/>
      <c r="AU1" s="50"/>
      <c r="AV1" s="50"/>
      <c r="AW1" s="50"/>
      <c r="AX1" s="50"/>
      <c r="AY1" s="50"/>
    </row>
    <row r="2" spans="1:51">
      <c r="A2" s="279"/>
      <c r="B2" s="279"/>
      <c r="C2" s="279"/>
      <c r="D2" s="740"/>
      <c r="E2" s="279"/>
      <c r="F2" s="279"/>
      <c r="G2" s="279"/>
      <c r="H2" s="279"/>
      <c r="I2" s="279"/>
      <c r="J2" s="279"/>
      <c r="K2" s="279"/>
      <c r="L2" s="279"/>
      <c r="M2" s="279"/>
      <c r="N2" s="279"/>
      <c r="O2" s="279"/>
      <c r="P2" s="279"/>
    </row>
    <row r="3" spans="1:51" ht="26.25">
      <c r="A3" s="279"/>
      <c r="B3" s="934" t="s">
        <v>478</v>
      </c>
      <c r="C3" s="934"/>
      <c r="D3" s="934"/>
      <c r="E3" s="934"/>
      <c r="F3" s="934"/>
      <c r="G3" s="934"/>
      <c r="H3" s="280"/>
      <c r="I3" s="279"/>
      <c r="J3" s="279"/>
      <c r="K3" s="279"/>
      <c r="L3" s="279"/>
      <c r="M3" s="279"/>
      <c r="N3" s="279"/>
      <c r="O3" s="279"/>
      <c r="P3" s="279"/>
      <c r="Q3" s="146"/>
      <c r="R3" s="146"/>
      <c r="S3" s="146"/>
    </row>
    <row r="4" spans="1:51" s="10" customFormat="1" ht="14.25">
      <c r="A4" s="281"/>
      <c r="B4" s="282" t="s">
        <v>395</v>
      </c>
      <c r="C4" s="278">
        <f>corpyear</f>
        <v>2005</v>
      </c>
      <c r="D4" s="741"/>
      <c r="E4" s="281"/>
      <c r="F4" s="281"/>
      <c r="G4" s="281"/>
      <c r="H4" s="281"/>
      <c r="I4" s="281"/>
      <c r="J4" s="281"/>
      <c r="K4" s="281"/>
      <c r="L4" s="281"/>
      <c r="M4" s="281"/>
      <c r="N4" s="281"/>
      <c r="O4" s="281"/>
      <c r="P4" s="281"/>
      <c r="Q4" s="8"/>
      <c r="R4" s="8"/>
      <c r="S4" s="8"/>
    </row>
    <row r="5" spans="1:51" s="10" customFormat="1" ht="14.25">
      <c r="A5" s="281"/>
      <c r="B5" s="283"/>
      <c r="C5" s="283"/>
      <c r="D5" s="741"/>
      <c r="E5" s="281"/>
      <c r="F5" s="281"/>
      <c r="G5" s="281"/>
      <c r="H5" s="281"/>
      <c r="I5" s="281"/>
      <c r="J5" s="281"/>
      <c r="K5" s="281"/>
      <c r="L5" s="281"/>
      <c r="M5" s="281"/>
      <c r="N5" s="281"/>
      <c r="O5" s="281"/>
      <c r="P5" s="281"/>
      <c r="Q5" s="8"/>
      <c r="R5" s="8"/>
      <c r="S5" s="8"/>
    </row>
    <row r="6" spans="1:51" s="10" customFormat="1" ht="14.25">
      <c r="A6" s="281"/>
      <c r="B6" s="284" t="s">
        <v>462</v>
      </c>
      <c r="C6" s="957" t="s">
        <v>479</v>
      </c>
      <c r="D6" s="957"/>
      <c r="E6" s="957"/>
      <c r="F6" s="957"/>
      <c r="G6" s="957"/>
      <c r="H6" s="281"/>
      <c r="I6" s="281"/>
      <c r="J6" s="281"/>
      <c r="K6" s="281"/>
      <c r="L6" s="281"/>
      <c r="M6" s="281"/>
      <c r="N6" s="281"/>
      <c r="O6" s="281"/>
      <c r="P6" s="281"/>
      <c r="Q6" s="8"/>
      <c r="R6" s="8"/>
      <c r="S6" s="8"/>
    </row>
    <row r="7" spans="1:51" s="10" customFormat="1" ht="14.25">
      <c r="A7" s="281"/>
      <c r="B7" s="285"/>
      <c r="C7" s="281"/>
      <c r="D7" s="742"/>
      <c r="E7" s="281"/>
      <c r="F7" s="281"/>
      <c r="G7" s="281"/>
      <c r="H7" s="281"/>
      <c r="I7" s="281"/>
      <c r="J7" s="281"/>
      <c r="K7" s="281"/>
      <c r="L7" s="281"/>
      <c r="M7" s="281"/>
      <c r="N7" s="281"/>
      <c r="O7" s="281"/>
      <c r="P7" s="281"/>
      <c r="Q7" s="8"/>
      <c r="R7" s="8"/>
      <c r="S7" s="8"/>
    </row>
    <row r="8" spans="1:51" s="10" customFormat="1" ht="15" thickBot="1">
      <c r="A8" s="281"/>
      <c r="B8" s="281"/>
      <c r="C8" s="281"/>
      <c r="D8" s="742"/>
      <c r="E8" s="281"/>
      <c r="F8" s="281"/>
      <c r="G8" s="281"/>
      <c r="H8" s="281"/>
      <c r="I8" s="281"/>
      <c r="J8" s="281"/>
      <c r="K8" s="281"/>
      <c r="L8" s="281"/>
      <c r="M8" s="281"/>
      <c r="N8" s="281"/>
      <c r="O8" s="281"/>
      <c r="P8" s="281"/>
      <c r="Q8" s="8"/>
      <c r="R8" s="8"/>
      <c r="S8" s="8"/>
    </row>
    <row r="9" spans="1:51" s="292" customFormat="1" ht="42" customHeight="1" thickBot="1">
      <c r="A9" s="286"/>
      <c r="B9" s="826" t="s">
        <v>480</v>
      </c>
      <c r="C9" s="827" t="s">
        <v>365</v>
      </c>
      <c r="D9" s="743" t="s">
        <v>483</v>
      </c>
      <c r="E9" s="731" t="s">
        <v>411</v>
      </c>
      <c r="F9" s="286"/>
      <c r="G9" s="290" t="s">
        <v>379</v>
      </c>
      <c r="H9" s="723" t="s">
        <v>484</v>
      </c>
      <c r="I9" s="286"/>
      <c r="J9" s="286"/>
      <c r="K9" s="286"/>
      <c r="L9" s="286"/>
      <c r="M9" s="286"/>
      <c r="N9" s="286"/>
      <c r="O9" s="286"/>
      <c r="P9" s="286"/>
      <c r="Q9" s="291"/>
      <c r="R9" s="291"/>
      <c r="S9" s="291"/>
    </row>
    <row r="10" spans="1:51" s="10" customFormat="1" ht="14.25">
      <c r="A10" s="281"/>
      <c r="B10" s="713" t="s">
        <v>236</v>
      </c>
      <c r="C10" s="726" t="s">
        <v>183</v>
      </c>
      <c r="D10" s="801"/>
      <c r="E10" s="803">
        <f>D10*'Wskazniki emisji paliw'!N$32</f>
        <v>0</v>
      </c>
      <c r="F10" s="281"/>
      <c r="G10" s="296" t="s">
        <v>229</v>
      </c>
      <c r="H10" s="720">
        <v>1</v>
      </c>
      <c r="I10" s="281"/>
      <c r="J10" s="281"/>
      <c r="K10" s="281"/>
      <c r="L10" s="281"/>
      <c r="M10" s="281"/>
      <c r="N10" s="281"/>
      <c r="O10" s="281"/>
      <c r="P10" s="281"/>
      <c r="Q10" s="8"/>
      <c r="R10" s="8"/>
      <c r="S10" s="8"/>
    </row>
    <row r="11" spans="1:51" s="10" customFormat="1" ht="14.25">
      <c r="A11" s="281"/>
      <c r="B11" s="773" t="s">
        <v>237</v>
      </c>
      <c r="C11" s="733" t="s">
        <v>213</v>
      </c>
      <c r="D11" s="801"/>
      <c r="E11" s="803">
        <f>D11*'Wskazniki emisji paliw'!N$32</f>
        <v>0</v>
      </c>
      <c r="F11" s="281"/>
      <c r="G11" s="296"/>
      <c r="H11" s="720">
        <v>0.50019999999999998</v>
      </c>
      <c r="I11" s="281"/>
      <c r="J11" s="281"/>
      <c r="K11" s="281"/>
      <c r="L11" s="281"/>
      <c r="M11" s="281"/>
      <c r="N11" s="281"/>
      <c r="O11" s="281"/>
      <c r="P11" s="281"/>
      <c r="Q11" s="8"/>
      <c r="R11" s="8"/>
      <c r="S11" s="8"/>
    </row>
    <row r="12" spans="1:51" s="10" customFormat="1" ht="14.25">
      <c r="A12" s="281"/>
      <c r="B12" s="713" t="s">
        <v>239</v>
      </c>
      <c r="C12" s="726" t="s">
        <v>216</v>
      </c>
      <c r="D12" s="801">
        <v>5.33</v>
      </c>
      <c r="E12" s="803">
        <f>D12*'Wskazniki emisji paliw'!N$32</f>
        <v>3.4458449999999998</v>
      </c>
      <c r="F12" s="281"/>
      <c r="G12" s="296"/>
      <c r="H12" s="720">
        <v>1</v>
      </c>
      <c r="I12" s="281"/>
      <c r="J12" s="281"/>
      <c r="K12" s="281"/>
      <c r="L12" s="281"/>
      <c r="M12" s="281"/>
      <c r="N12" s="281"/>
      <c r="O12" s="281"/>
      <c r="P12" s="281"/>
      <c r="Q12" s="8"/>
      <c r="R12" s="8"/>
      <c r="S12" s="8"/>
    </row>
    <row r="13" spans="1:51" s="10" customFormat="1" ht="14.25">
      <c r="A13" s="281"/>
      <c r="B13" s="732" t="s">
        <v>240</v>
      </c>
      <c r="C13" s="733" t="s">
        <v>185</v>
      </c>
      <c r="D13" s="801">
        <v>0.25</v>
      </c>
      <c r="E13" s="803">
        <f>D13*'Wskazniki emisji paliw'!N$32</f>
        <v>0.16162499999999999</v>
      </c>
      <c r="F13" s="281"/>
      <c r="G13" s="296"/>
      <c r="H13" s="720">
        <v>0.153</v>
      </c>
      <c r="I13" s="281"/>
      <c r="J13" s="281"/>
      <c r="K13" s="281"/>
      <c r="L13" s="281"/>
      <c r="M13" s="281"/>
      <c r="N13" s="281"/>
      <c r="O13" s="281"/>
      <c r="P13" s="281"/>
      <c r="Q13" s="8"/>
      <c r="R13" s="8"/>
      <c r="S13" s="8"/>
    </row>
    <row r="14" spans="1:51" s="10" customFormat="1" ht="14.25">
      <c r="A14" s="281"/>
      <c r="B14" s="713" t="s">
        <v>241</v>
      </c>
      <c r="C14" s="726" t="s">
        <v>186</v>
      </c>
      <c r="D14" s="801">
        <v>360.59</v>
      </c>
      <c r="E14" s="803">
        <f>D14*'Wskazniki emisji paliw'!N$32</f>
        <v>233.12143499999996</v>
      </c>
      <c r="F14" s="281"/>
      <c r="G14" s="296"/>
      <c r="H14" s="720">
        <v>1</v>
      </c>
      <c r="I14" s="281"/>
      <c r="J14" s="281"/>
      <c r="K14" s="281"/>
      <c r="L14" s="281"/>
      <c r="M14" s="281"/>
      <c r="N14" s="281"/>
      <c r="O14" s="281"/>
      <c r="P14" s="281"/>
      <c r="Q14" s="8"/>
      <c r="R14" s="8"/>
      <c r="S14" s="8"/>
    </row>
    <row r="15" spans="1:51" s="10" customFormat="1" ht="14.25">
      <c r="A15" s="281"/>
      <c r="B15" s="713" t="s">
        <v>187</v>
      </c>
      <c r="C15" s="726" t="s">
        <v>188</v>
      </c>
      <c r="D15" s="801">
        <v>5.27</v>
      </c>
      <c r="E15" s="803">
        <f>D15*'Wskazniki emisji paliw'!N$32</f>
        <v>3.4070549999999997</v>
      </c>
      <c r="F15" s="281"/>
      <c r="G15" s="296"/>
      <c r="H15" s="720">
        <v>1</v>
      </c>
      <c r="I15" s="281"/>
      <c r="J15" s="281"/>
      <c r="K15" s="281"/>
      <c r="L15" s="281"/>
      <c r="M15" s="281"/>
      <c r="N15" s="281"/>
      <c r="O15" s="281"/>
      <c r="P15" s="281"/>
      <c r="Q15" s="8"/>
      <c r="R15" s="8"/>
      <c r="S15" s="8"/>
    </row>
    <row r="16" spans="1:51" s="10" customFormat="1" ht="14.25">
      <c r="A16" s="281"/>
      <c r="B16" s="713" t="s">
        <v>481</v>
      </c>
      <c r="C16" s="726" t="s">
        <v>214</v>
      </c>
      <c r="D16" s="801">
        <v>37.24</v>
      </c>
      <c r="E16" s="803">
        <f>D16*'Wskazniki emisji paliw'!N$32</f>
        <v>24.075659999999999</v>
      </c>
      <c r="F16" s="281"/>
      <c r="G16" s="296"/>
      <c r="H16" s="720">
        <v>1</v>
      </c>
      <c r="I16" s="281"/>
      <c r="J16" s="281"/>
      <c r="K16" s="281"/>
      <c r="L16" s="281"/>
      <c r="M16" s="281"/>
      <c r="N16" s="281"/>
      <c r="O16" s="281"/>
      <c r="P16" s="281"/>
      <c r="Q16" s="8"/>
      <c r="R16" s="8"/>
      <c r="S16" s="8"/>
    </row>
    <row r="17" spans="1:19" s="10" customFormat="1" ht="14.25">
      <c r="A17" s="281"/>
      <c r="B17" s="713" t="s">
        <v>217</v>
      </c>
      <c r="C17" s="726" t="s">
        <v>218</v>
      </c>
      <c r="D17" s="801">
        <v>2.71</v>
      </c>
      <c r="E17" s="803">
        <f>D17*'Wskazniki emisji paliw'!N$32</f>
        <v>1.7520149999999999</v>
      </c>
      <c r="F17" s="281"/>
      <c r="G17" s="296"/>
      <c r="H17" s="720">
        <v>1</v>
      </c>
      <c r="I17" s="281"/>
      <c r="J17" s="281"/>
      <c r="K17" s="281"/>
      <c r="L17" s="281"/>
      <c r="M17" s="281"/>
      <c r="N17" s="281"/>
      <c r="O17" s="281"/>
      <c r="P17" s="281"/>
      <c r="Q17" s="8"/>
      <c r="R17" s="8"/>
      <c r="S17" s="8"/>
    </row>
    <row r="18" spans="1:19" s="10" customFormat="1" ht="14.25">
      <c r="A18" s="281"/>
      <c r="B18" s="732" t="s">
        <v>242</v>
      </c>
      <c r="C18" s="733" t="s">
        <v>189</v>
      </c>
      <c r="D18" s="801">
        <v>126.26</v>
      </c>
      <c r="E18" s="803">
        <f>D18*'Wskazniki emisji paliw'!N$32</f>
        <v>81.627089999999995</v>
      </c>
      <c r="F18" s="281"/>
      <c r="G18" s="296"/>
      <c r="H18" s="720">
        <v>0.40039999999999998</v>
      </c>
      <c r="I18" s="281"/>
      <c r="J18" s="281"/>
      <c r="K18" s="281"/>
      <c r="L18" s="281"/>
      <c r="M18" s="281"/>
      <c r="N18" s="281"/>
      <c r="O18" s="281"/>
      <c r="P18" s="281"/>
      <c r="Q18" s="8"/>
      <c r="R18" s="8"/>
      <c r="S18" s="8"/>
    </row>
    <row r="19" spans="1:19" s="10" customFormat="1" ht="14.25">
      <c r="A19" s="281"/>
      <c r="B19" s="713" t="s">
        <v>243</v>
      </c>
      <c r="C19" s="726" t="s">
        <v>190</v>
      </c>
      <c r="D19" s="801">
        <v>63.5</v>
      </c>
      <c r="E19" s="803">
        <f>D19*'Wskazniki emisji paliw'!N$32</f>
        <v>41.052749999999996</v>
      </c>
      <c r="F19" s="281"/>
      <c r="G19" s="296"/>
      <c r="H19" s="720">
        <v>1</v>
      </c>
      <c r="I19" s="281"/>
      <c r="J19" s="281"/>
      <c r="K19" s="281"/>
      <c r="L19" s="281"/>
      <c r="M19" s="281"/>
      <c r="N19" s="281"/>
      <c r="O19" s="281"/>
      <c r="P19" s="281"/>
      <c r="Q19" s="8"/>
      <c r="R19" s="8"/>
      <c r="S19" s="8"/>
    </row>
    <row r="20" spans="1:19" s="10" customFormat="1" ht="14.25">
      <c r="A20" s="281"/>
      <c r="B20" s="713" t="s">
        <v>298</v>
      </c>
      <c r="C20" s="726" t="s">
        <v>299</v>
      </c>
      <c r="D20" s="801">
        <v>138.32</v>
      </c>
      <c r="E20" s="803">
        <f>D20*'Wskazniki emisji paliw'!N$32</f>
        <v>89.423879999999997</v>
      </c>
      <c r="F20" s="281"/>
      <c r="G20" s="296"/>
      <c r="H20" s="720">
        <v>1</v>
      </c>
      <c r="I20" s="281"/>
      <c r="J20" s="281"/>
      <c r="K20" s="281"/>
      <c r="L20" s="281"/>
      <c r="M20" s="281"/>
      <c r="N20" s="281"/>
      <c r="O20" s="281"/>
      <c r="P20" s="281"/>
      <c r="Q20" s="8"/>
      <c r="R20" s="8"/>
      <c r="S20" s="8"/>
    </row>
    <row r="21" spans="1:19" s="10" customFormat="1" ht="14.25">
      <c r="A21" s="281"/>
      <c r="B21" s="713" t="s">
        <v>244</v>
      </c>
      <c r="C21" s="726" t="s">
        <v>191</v>
      </c>
      <c r="D21" s="801"/>
      <c r="E21" s="803">
        <f>D21*'Wskazniki emisji paliw'!N$32</f>
        <v>0</v>
      </c>
      <c r="F21" s="281"/>
      <c r="G21" s="296"/>
      <c r="H21" s="720">
        <v>1</v>
      </c>
      <c r="I21" s="281"/>
      <c r="J21" s="281"/>
      <c r="K21" s="281"/>
      <c r="L21" s="281"/>
      <c r="M21" s="281"/>
      <c r="N21" s="281"/>
      <c r="O21" s="281"/>
      <c r="P21" s="281"/>
      <c r="Q21" s="8"/>
      <c r="R21" s="8"/>
      <c r="S21" s="8"/>
    </row>
    <row r="22" spans="1:19" s="10" customFormat="1" ht="14.25">
      <c r="A22" s="281"/>
      <c r="B22" s="713" t="s">
        <v>245</v>
      </c>
      <c r="C22" s="726" t="s">
        <v>192</v>
      </c>
      <c r="D22" s="801">
        <v>119.83</v>
      </c>
      <c r="E22" s="803">
        <f>D22*'Wskazniki emisji paliw'!N$32</f>
        <v>77.470095000000001</v>
      </c>
      <c r="F22" s="281"/>
      <c r="G22" s="296"/>
      <c r="H22" s="720">
        <v>1</v>
      </c>
      <c r="I22" s="281"/>
      <c r="J22" s="281"/>
      <c r="K22" s="281"/>
      <c r="L22" s="281"/>
      <c r="M22" s="281"/>
      <c r="N22" s="281"/>
      <c r="O22" s="281"/>
      <c r="P22" s="281"/>
      <c r="Q22" s="8"/>
      <c r="R22" s="8"/>
      <c r="S22" s="8"/>
    </row>
    <row r="23" spans="1:19" s="10" customFormat="1" ht="14.25">
      <c r="A23" s="281"/>
      <c r="B23" s="713" t="s">
        <v>221</v>
      </c>
      <c r="C23" s="726" t="s">
        <v>193</v>
      </c>
      <c r="D23" s="801">
        <v>35.40992</v>
      </c>
      <c r="E23" s="803">
        <f>D23*'Wskazniki emisji paliw'!N$32</f>
        <v>22.892513279999999</v>
      </c>
      <c r="F23" s="281"/>
      <c r="G23" s="100" t="s">
        <v>233</v>
      </c>
      <c r="H23" s="720">
        <v>1</v>
      </c>
      <c r="I23" s="281"/>
      <c r="J23" s="281"/>
      <c r="K23" s="281"/>
      <c r="L23" s="281"/>
      <c r="M23" s="281"/>
      <c r="N23" s="281"/>
      <c r="O23" s="281"/>
      <c r="P23" s="281"/>
      <c r="Q23" s="8"/>
      <c r="R23" s="8"/>
      <c r="S23" s="8"/>
    </row>
    <row r="24" spans="1:19" s="10" customFormat="1" ht="14.25">
      <c r="A24" s="281"/>
      <c r="B24" s="713" t="s">
        <v>220</v>
      </c>
      <c r="C24" s="726" t="s">
        <v>193</v>
      </c>
      <c r="D24" s="801">
        <v>154.65696000000003</v>
      </c>
      <c r="E24" s="803">
        <f>D24*'Wskazniki emisji paliw'!N$32</f>
        <v>99.985724640000015</v>
      </c>
      <c r="F24" s="281"/>
      <c r="G24" s="100" t="s">
        <v>233</v>
      </c>
      <c r="H24" s="720">
        <v>1</v>
      </c>
      <c r="I24" s="281"/>
      <c r="J24" s="281"/>
      <c r="K24" s="281"/>
      <c r="L24" s="281"/>
      <c r="M24" s="281"/>
      <c r="N24" s="281"/>
      <c r="O24" s="281"/>
      <c r="P24" s="281"/>
      <c r="Q24" s="8"/>
      <c r="R24" s="8"/>
      <c r="S24" s="8"/>
    </row>
    <row r="25" spans="1:19" s="10" customFormat="1" ht="14.25">
      <c r="A25" s="281"/>
      <c r="B25" s="713" t="s">
        <v>222</v>
      </c>
      <c r="C25" s="726" t="s">
        <v>193</v>
      </c>
      <c r="D25" s="801">
        <v>403.9</v>
      </c>
      <c r="E25" s="803">
        <f>D25*'Wskazniki emisji paliw'!N$32</f>
        <v>261.12134999999995</v>
      </c>
      <c r="F25" s="281"/>
      <c r="G25" s="100" t="s">
        <v>233</v>
      </c>
      <c r="H25" s="720">
        <v>1</v>
      </c>
      <c r="I25" s="281"/>
      <c r="J25" s="281"/>
      <c r="K25" s="281"/>
      <c r="L25" s="281"/>
      <c r="M25" s="281"/>
      <c r="N25" s="281"/>
      <c r="O25" s="281"/>
      <c r="P25" s="281"/>
      <c r="Q25" s="8"/>
      <c r="R25" s="8"/>
      <c r="S25" s="8"/>
    </row>
    <row r="26" spans="1:19" s="10" customFormat="1" ht="14.25">
      <c r="A26" s="281"/>
      <c r="B26" s="713" t="s">
        <v>257</v>
      </c>
      <c r="C26" s="726" t="s">
        <v>195</v>
      </c>
      <c r="D26" s="801">
        <v>238.3</v>
      </c>
      <c r="E26" s="803">
        <f>D26*'Wskazniki emisji paliw'!N$32</f>
        <v>154.06094999999999</v>
      </c>
      <c r="F26" s="281"/>
      <c r="G26" s="296"/>
      <c r="H26" s="720">
        <v>1</v>
      </c>
      <c r="I26" s="281"/>
      <c r="J26" s="281"/>
      <c r="K26" s="281"/>
      <c r="L26" s="281"/>
      <c r="M26" s="281"/>
      <c r="N26" s="281"/>
      <c r="O26" s="281"/>
      <c r="P26" s="281"/>
      <c r="Q26" s="8"/>
      <c r="R26" s="8"/>
      <c r="S26" s="8"/>
    </row>
    <row r="27" spans="1:19" s="10" customFormat="1" ht="14.25">
      <c r="A27" s="281"/>
      <c r="B27" s="713" t="s">
        <v>246</v>
      </c>
      <c r="C27" s="726" t="s">
        <v>196</v>
      </c>
      <c r="D27" s="801">
        <v>175.96</v>
      </c>
      <c r="E27" s="803">
        <f>D27*'Wskazniki emisji paliw'!N$32</f>
        <v>113.75814</v>
      </c>
      <c r="F27" s="281"/>
      <c r="G27" s="296"/>
      <c r="H27" s="720">
        <v>1</v>
      </c>
      <c r="I27" s="281"/>
      <c r="J27" s="281"/>
      <c r="K27" s="281"/>
      <c r="L27" s="281"/>
      <c r="M27" s="281"/>
      <c r="N27" s="281"/>
      <c r="O27" s="281"/>
      <c r="P27" s="281"/>
      <c r="Q27" s="8"/>
      <c r="R27" s="8"/>
      <c r="S27" s="8"/>
    </row>
    <row r="28" spans="1:19" s="10" customFormat="1" ht="14.25">
      <c r="A28" s="281"/>
      <c r="B28" s="713" t="s">
        <v>198</v>
      </c>
      <c r="C28" s="726" t="s">
        <v>199</v>
      </c>
      <c r="D28" s="801"/>
      <c r="E28" s="803">
        <f>D28*'Wskazniki emisji paliw'!N$32</f>
        <v>0</v>
      </c>
      <c r="F28" s="281"/>
      <c r="G28" s="296"/>
      <c r="H28" s="720">
        <v>1</v>
      </c>
      <c r="I28" s="281"/>
      <c r="J28" s="281"/>
      <c r="K28" s="281"/>
      <c r="L28" s="281"/>
      <c r="M28" s="281"/>
      <c r="N28" s="281"/>
      <c r="O28" s="281"/>
      <c r="P28" s="281"/>
      <c r="Q28" s="8"/>
      <c r="R28" s="8"/>
      <c r="S28" s="8"/>
    </row>
    <row r="29" spans="1:19" s="10" customFormat="1" ht="14.25">
      <c r="A29" s="281"/>
      <c r="B29" s="713" t="s">
        <v>247</v>
      </c>
      <c r="C29" s="726" t="s">
        <v>194</v>
      </c>
      <c r="D29" s="801"/>
      <c r="E29" s="803">
        <f>D29*'Wskazniki emisji paliw'!N$32</f>
        <v>0</v>
      </c>
      <c r="F29" s="281"/>
      <c r="G29" s="296"/>
      <c r="H29" s="720">
        <v>1</v>
      </c>
      <c r="I29" s="281"/>
      <c r="J29" s="281"/>
      <c r="K29" s="281"/>
      <c r="L29" s="281"/>
      <c r="M29" s="281"/>
      <c r="N29" s="281"/>
      <c r="O29" s="281"/>
      <c r="P29" s="281"/>
      <c r="Q29" s="8"/>
      <c r="R29" s="8"/>
      <c r="S29" s="8"/>
    </row>
    <row r="30" spans="1:19" s="10" customFormat="1" ht="14.25">
      <c r="A30" s="281"/>
      <c r="B30" s="732" t="s">
        <v>248</v>
      </c>
      <c r="C30" s="733" t="s">
        <v>197</v>
      </c>
      <c r="D30" s="801">
        <v>42.37</v>
      </c>
      <c r="E30" s="803">
        <f>D30*'Wskazniki emisji paliw'!N$32</f>
        <v>27.392204999999997</v>
      </c>
      <c r="F30" s="281"/>
      <c r="G30" s="296"/>
      <c r="H30" s="720">
        <v>0.5504</v>
      </c>
      <c r="I30" s="281"/>
      <c r="J30" s="281"/>
      <c r="K30" s="281"/>
      <c r="L30" s="281"/>
      <c r="M30" s="281"/>
      <c r="N30" s="281"/>
      <c r="O30" s="281"/>
      <c r="P30" s="281"/>
      <c r="Q30" s="8"/>
      <c r="R30" s="8"/>
      <c r="S30" s="8"/>
    </row>
    <row r="31" spans="1:19" s="10" customFormat="1" ht="14.25">
      <c r="A31" s="281"/>
      <c r="B31" s="713" t="s">
        <v>249</v>
      </c>
      <c r="C31" s="726" t="s">
        <v>200</v>
      </c>
      <c r="D31" s="801">
        <v>15.22</v>
      </c>
      <c r="E31" s="803">
        <f>D31*'Wskazniki emisji paliw'!N$32</f>
        <v>9.8397299999999994</v>
      </c>
      <c r="F31" s="281"/>
      <c r="G31" s="296"/>
      <c r="H31" s="720">
        <v>1</v>
      </c>
      <c r="I31" s="281"/>
      <c r="J31" s="281"/>
      <c r="K31" s="281"/>
      <c r="L31" s="281"/>
      <c r="M31" s="281"/>
      <c r="N31" s="281"/>
      <c r="O31" s="281"/>
      <c r="P31" s="281"/>
      <c r="Q31" s="8"/>
      <c r="R31" s="8"/>
      <c r="S31" s="8"/>
    </row>
    <row r="32" spans="1:19" s="10" customFormat="1" ht="14.25">
      <c r="A32" s="281"/>
      <c r="B32" s="713" t="s">
        <v>250</v>
      </c>
      <c r="C32" s="726" t="s">
        <v>201</v>
      </c>
      <c r="D32" s="801">
        <v>35.910000000000004</v>
      </c>
      <c r="E32" s="803">
        <f>D32*'Wskazniki emisji paliw'!N$32</f>
        <v>23.215815000000003</v>
      </c>
      <c r="F32" s="281"/>
      <c r="G32" s="296"/>
      <c r="H32" s="720">
        <v>1</v>
      </c>
      <c r="I32" s="281"/>
      <c r="J32" s="281"/>
      <c r="K32" s="281"/>
      <c r="L32" s="281"/>
      <c r="M32" s="281"/>
      <c r="N32" s="281"/>
      <c r="O32" s="281"/>
      <c r="P32" s="281"/>
      <c r="Q32" s="8"/>
      <c r="R32" s="8"/>
      <c r="S32" s="8"/>
    </row>
    <row r="33" spans="1:19" s="10" customFormat="1" ht="14.25">
      <c r="A33" s="281"/>
      <c r="B33" s="732" t="s">
        <v>279</v>
      </c>
      <c r="C33" s="733" t="s">
        <v>202</v>
      </c>
      <c r="D33" s="801">
        <v>15416.07</v>
      </c>
      <c r="E33" s="803">
        <f>D33*'Wskazniki emisji paliw'!N$32</f>
        <v>9966.4892549999986</v>
      </c>
      <c r="F33" s="281"/>
      <c r="G33" s="296" t="s">
        <v>312</v>
      </c>
      <c r="H33" s="720">
        <v>0.5</v>
      </c>
      <c r="I33" s="281"/>
      <c r="J33" s="281"/>
      <c r="K33" s="281"/>
      <c r="L33" s="281"/>
      <c r="M33" s="281"/>
      <c r="N33" s="281"/>
      <c r="O33" s="281"/>
      <c r="P33" s="281"/>
      <c r="Q33" s="8"/>
      <c r="R33" s="8"/>
      <c r="S33" s="8"/>
    </row>
    <row r="34" spans="1:19" s="10" customFormat="1" ht="14.25">
      <c r="A34" s="281"/>
      <c r="B34" s="713" t="s">
        <v>251</v>
      </c>
      <c r="C34" s="726" t="s">
        <v>203</v>
      </c>
      <c r="D34" s="801"/>
      <c r="E34" s="803">
        <f>D34*'Wskazniki emisji paliw'!N$32</f>
        <v>0</v>
      </c>
      <c r="F34" s="281"/>
      <c r="G34" s="296" t="s">
        <v>231</v>
      </c>
      <c r="H34" s="720">
        <v>1</v>
      </c>
      <c r="I34" s="281"/>
      <c r="J34" s="281"/>
      <c r="K34" s="281"/>
      <c r="L34" s="281"/>
      <c r="M34" s="281"/>
      <c r="N34" s="281"/>
      <c r="O34" s="281"/>
      <c r="P34" s="281"/>
      <c r="Q34" s="8"/>
      <c r="R34" s="8"/>
      <c r="S34" s="8"/>
    </row>
    <row r="35" spans="1:19" s="10" customFormat="1" ht="14.25">
      <c r="A35" s="281"/>
      <c r="B35" s="713" t="s">
        <v>252</v>
      </c>
      <c r="C35" s="726" t="s">
        <v>204</v>
      </c>
      <c r="D35" s="801">
        <v>34.58</v>
      </c>
      <c r="E35" s="803">
        <f>D35*'Wskazniki emisji paliw'!N$32</f>
        <v>22.355969999999999</v>
      </c>
      <c r="F35" s="281"/>
      <c r="G35" s="296"/>
      <c r="H35" s="720">
        <v>1</v>
      </c>
      <c r="I35" s="281"/>
      <c r="J35" s="281"/>
      <c r="K35" s="281"/>
      <c r="L35" s="281"/>
      <c r="M35" s="281"/>
      <c r="N35" s="281"/>
      <c r="O35" s="281"/>
      <c r="P35" s="281"/>
      <c r="Q35" s="8"/>
      <c r="R35" s="8"/>
      <c r="S35" s="8"/>
    </row>
    <row r="36" spans="1:19" s="10" customFormat="1" ht="14.25">
      <c r="A36" s="281"/>
      <c r="B36" s="772" t="s">
        <v>253</v>
      </c>
      <c r="C36" s="726" t="s">
        <v>205</v>
      </c>
      <c r="D36" s="801"/>
      <c r="E36" s="803">
        <f>D36*'Wskazniki emisji paliw'!N$32</f>
        <v>0</v>
      </c>
      <c r="F36" s="281"/>
      <c r="G36" s="296"/>
      <c r="H36" s="720">
        <v>1</v>
      </c>
      <c r="I36" s="281"/>
      <c r="J36" s="281"/>
      <c r="K36" s="281"/>
      <c r="L36" s="281"/>
      <c r="M36" s="281"/>
      <c r="N36" s="281"/>
      <c r="O36" s="281"/>
      <c r="P36" s="281"/>
      <c r="Q36" s="8"/>
      <c r="R36" s="8"/>
      <c r="S36" s="8"/>
    </row>
    <row r="37" spans="1:19" s="10" customFormat="1" ht="14.25">
      <c r="A37" s="281"/>
      <c r="B37" s="713" t="s">
        <v>254</v>
      </c>
      <c r="C37" s="726" t="s">
        <v>219</v>
      </c>
      <c r="D37" s="801">
        <v>546.78</v>
      </c>
      <c r="E37" s="803">
        <f>D37*'Wskazniki emisji paliw'!N$32</f>
        <v>353.49326999999994</v>
      </c>
      <c r="F37" s="281"/>
      <c r="G37" s="296"/>
      <c r="H37" s="720">
        <v>1</v>
      </c>
      <c r="I37" s="281"/>
      <c r="J37" s="281"/>
      <c r="K37" s="281"/>
      <c r="L37" s="281"/>
      <c r="M37" s="281"/>
      <c r="N37" s="281"/>
      <c r="O37" s="281"/>
      <c r="P37" s="281"/>
      <c r="Q37" s="8"/>
      <c r="R37" s="8"/>
      <c r="S37" s="8"/>
    </row>
    <row r="38" spans="1:19" s="10" customFormat="1" ht="14.25">
      <c r="A38" s="281"/>
      <c r="B38" s="772" t="s">
        <v>300</v>
      </c>
      <c r="C38" s="726" t="s">
        <v>301</v>
      </c>
      <c r="D38" s="801">
        <v>61.180000000000007</v>
      </c>
      <c r="E38" s="803">
        <f>D38*'Wskazniki emisji paliw'!N$32</f>
        <v>39.552869999999999</v>
      </c>
      <c r="F38" s="281"/>
      <c r="G38" s="296"/>
      <c r="H38" s="720">
        <v>1</v>
      </c>
      <c r="I38" s="281"/>
      <c r="J38" s="281"/>
      <c r="K38" s="281"/>
      <c r="L38" s="281"/>
      <c r="M38" s="281"/>
      <c r="N38" s="281"/>
      <c r="O38" s="281"/>
      <c r="P38" s="281"/>
      <c r="Q38" s="8"/>
      <c r="R38" s="8"/>
      <c r="S38" s="8"/>
    </row>
    <row r="39" spans="1:19" s="10" customFormat="1" ht="14.25">
      <c r="A39" s="281"/>
      <c r="B39" s="713" t="s">
        <v>238</v>
      </c>
      <c r="C39" s="726" t="s">
        <v>184</v>
      </c>
      <c r="D39" s="801">
        <v>6.43</v>
      </c>
      <c r="E39" s="803">
        <f>D39*'Wskazniki emisji paliw'!N$32</f>
        <v>4.1569949999999993</v>
      </c>
      <c r="F39" s="281"/>
      <c r="G39" s="296"/>
      <c r="H39" s="720">
        <v>1</v>
      </c>
      <c r="I39" s="281"/>
      <c r="J39" s="281"/>
      <c r="K39" s="281"/>
      <c r="L39" s="281"/>
      <c r="M39" s="281"/>
      <c r="N39" s="281"/>
      <c r="O39" s="281"/>
      <c r="P39" s="281"/>
      <c r="Q39" s="8"/>
      <c r="R39" s="8"/>
      <c r="S39" s="8"/>
    </row>
    <row r="40" spans="1:19" s="10" customFormat="1" ht="14.25">
      <c r="A40" s="281"/>
      <c r="B40" s="713" t="s">
        <v>258</v>
      </c>
      <c r="C40" s="726" t="s">
        <v>206</v>
      </c>
      <c r="D40" s="801">
        <v>57.860320000000009</v>
      </c>
      <c r="E40" s="803">
        <f>D40*'Wskazniki emisji paliw'!N$32</f>
        <v>37.406696880000005</v>
      </c>
      <c r="F40" s="281"/>
      <c r="G40" s="296"/>
      <c r="H40" s="720">
        <v>1</v>
      </c>
      <c r="I40" s="281"/>
      <c r="J40" s="281"/>
      <c r="K40" s="281"/>
      <c r="L40" s="281"/>
      <c r="M40" s="281"/>
      <c r="N40" s="281"/>
      <c r="O40" s="281"/>
      <c r="P40" s="281"/>
      <c r="Q40" s="8"/>
      <c r="R40" s="8"/>
      <c r="S40" s="8"/>
    </row>
    <row r="41" spans="1:19" s="10" customFormat="1" ht="14.25">
      <c r="A41" s="281"/>
      <c r="B41" s="713" t="s">
        <v>266</v>
      </c>
      <c r="C41" s="726" t="s">
        <v>206</v>
      </c>
      <c r="D41" s="801">
        <v>232.89630000000002</v>
      </c>
      <c r="E41" s="803">
        <f>D41*'Wskazniki emisji paliw'!N$32</f>
        <v>150.56745795</v>
      </c>
      <c r="F41" s="281"/>
      <c r="G41" s="296"/>
      <c r="H41" s="720">
        <v>1</v>
      </c>
      <c r="I41" s="281"/>
      <c r="J41" s="281"/>
      <c r="K41" s="281"/>
      <c r="L41" s="281"/>
      <c r="M41" s="281"/>
      <c r="N41" s="281"/>
      <c r="O41" s="281"/>
      <c r="P41" s="281"/>
      <c r="Q41" s="8"/>
      <c r="R41" s="8"/>
      <c r="S41" s="8"/>
    </row>
    <row r="42" spans="1:19" s="10" customFormat="1" ht="14.25">
      <c r="A42" s="281"/>
      <c r="B42" s="713" t="s">
        <v>259</v>
      </c>
      <c r="C42" s="726" t="s">
        <v>206</v>
      </c>
      <c r="D42" s="801">
        <v>85.412600000000012</v>
      </c>
      <c r="E42" s="803">
        <f>D42*'Wskazniki emisji paliw'!N$32</f>
        <v>55.219245900000004</v>
      </c>
      <c r="F42" s="281"/>
      <c r="G42" s="296"/>
      <c r="H42" s="720">
        <v>1</v>
      </c>
      <c r="I42" s="281"/>
      <c r="J42" s="281"/>
      <c r="K42" s="281"/>
      <c r="L42" s="281"/>
      <c r="M42" s="281"/>
      <c r="N42" s="281"/>
      <c r="O42" s="281"/>
      <c r="P42" s="281"/>
      <c r="Q42" s="8"/>
      <c r="R42" s="8"/>
      <c r="S42" s="8"/>
    </row>
    <row r="43" spans="1:19" s="10" customFormat="1" ht="14.25">
      <c r="A43" s="281"/>
      <c r="B43" s="713" t="s">
        <v>260</v>
      </c>
      <c r="C43" s="726" t="s">
        <v>206</v>
      </c>
      <c r="D43" s="801">
        <v>544.54</v>
      </c>
      <c r="E43" s="803">
        <f>D43*'Wskazniki emisji paliw'!N$32</f>
        <v>352.04510999999997</v>
      </c>
      <c r="F43" s="281"/>
      <c r="G43" s="296"/>
      <c r="H43" s="720">
        <v>1</v>
      </c>
      <c r="I43" s="281"/>
      <c r="J43" s="281"/>
      <c r="K43" s="281"/>
      <c r="L43" s="281"/>
      <c r="M43" s="281"/>
      <c r="N43" s="281"/>
      <c r="O43" s="281"/>
      <c r="P43" s="281"/>
      <c r="Q43" s="8"/>
      <c r="R43" s="8"/>
      <c r="S43" s="8"/>
    </row>
    <row r="44" spans="1:19" s="10" customFormat="1" ht="14.25">
      <c r="A44" s="281"/>
      <c r="B44" s="713" t="s">
        <v>261</v>
      </c>
      <c r="C44" s="726" t="s">
        <v>206</v>
      </c>
      <c r="D44" s="801">
        <v>7.0224000000000002</v>
      </c>
      <c r="E44" s="803">
        <f>D44*'Wskazniki emisji paliw'!N$32</f>
        <v>4.5399816</v>
      </c>
      <c r="F44" s="281"/>
      <c r="G44" s="296"/>
      <c r="H44" s="720">
        <v>1</v>
      </c>
      <c r="I44" s="281"/>
      <c r="J44" s="281"/>
      <c r="K44" s="281"/>
      <c r="L44" s="281"/>
      <c r="M44" s="281"/>
      <c r="N44" s="281"/>
      <c r="O44" s="281"/>
      <c r="P44" s="281"/>
      <c r="Q44" s="8"/>
      <c r="R44" s="8"/>
      <c r="S44" s="8"/>
    </row>
    <row r="45" spans="1:19" s="10" customFormat="1" ht="14.25">
      <c r="A45" s="281"/>
      <c r="B45" s="713" t="s">
        <v>262</v>
      </c>
      <c r="C45" s="726" t="s">
        <v>206</v>
      </c>
      <c r="D45" s="801">
        <v>14.31878</v>
      </c>
      <c r="E45" s="803">
        <f>D45*'Wskazniki emisji paliw'!N$32</f>
        <v>9.2570912700000001</v>
      </c>
      <c r="F45" s="281"/>
      <c r="G45" s="296"/>
      <c r="H45" s="720">
        <v>1</v>
      </c>
      <c r="I45" s="281"/>
      <c r="J45" s="281"/>
      <c r="K45" s="281"/>
      <c r="L45" s="281"/>
      <c r="M45" s="281"/>
      <c r="N45" s="281"/>
      <c r="O45" s="281"/>
      <c r="P45" s="281"/>
      <c r="Q45" s="8"/>
      <c r="R45" s="8"/>
      <c r="S45" s="8"/>
    </row>
    <row r="46" spans="1:19" s="10" customFormat="1" ht="14.25">
      <c r="A46" s="281"/>
      <c r="B46" s="713" t="s">
        <v>263</v>
      </c>
      <c r="C46" s="726" t="s">
        <v>206</v>
      </c>
      <c r="D46" s="801">
        <v>137.62840000000003</v>
      </c>
      <c r="E46" s="803">
        <f>D46*'Wskazniki emisji paliw'!N$32</f>
        <v>88.976760600000006</v>
      </c>
      <c r="F46" s="281"/>
      <c r="G46" s="296"/>
      <c r="H46" s="720">
        <v>1</v>
      </c>
      <c r="I46" s="281"/>
      <c r="J46" s="281"/>
      <c r="K46" s="281"/>
      <c r="L46" s="281"/>
      <c r="M46" s="281"/>
      <c r="N46" s="281"/>
      <c r="O46" s="281"/>
      <c r="P46" s="281"/>
      <c r="Q46" s="8"/>
      <c r="R46" s="8"/>
      <c r="S46" s="8"/>
    </row>
    <row r="47" spans="1:19" s="10" customFormat="1" ht="14.25">
      <c r="A47" s="281"/>
      <c r="B47" s="713" t="s">
        <v>264</v>
      </c>
      <c r="C47" s="726" t="s">
        <v>206</v>
      </c>
      <c r="D47" s="801">
        <v>353.81192000000004</v>
      </c>
      <c r="E47" s="803">
        <f>D47*'Wskazniki emisji paliw'!N$32</f>
        <v>228.73940628000003</v>
      </c>
      <c r="F47" s="281"/>
      <c r="G47" s="296"/>
      <c r="H47" s="720">
        <v>1</v>
      </c>
      <c r="I47" s="281"/>
      <c r="J47" s="281"/>
      <c r="K47" s="281"/>
      <c r="L47" s="281"/>
      <c r="M47" s="281"/>
      <c r="N47" s="281"/>
      <c r="O47" s="281"/>
      <c r="P47" s="281"/>
      <c r="Q47" s="8"/>
      <c r="R47" s="8"/>
      <c r="S47" s="8"/>
    </row>
    <row r="48" spans="1:19" s="10" customFormat="1" ht="14.25">
      <c r="A48" s="281"/>
      <c r="B48" s="713" t="s">
        <v>265</v>
      </c>
      <c r="C48" s="726" t="s">
        <v>206</v>
      </c>
      <c r="D48" s="801">
        <v>4674.17</v>
      </c>
      <c r="E48" s="803">
        <f>D48*'Wskazniki emisji paliw'!N$32</f>
        <v>3021.8509049999998</v>
      </c>
      <c r="F48" s="281"/>
      <c r="G48" s="296"/>
      <c r="H48" s="720">
        <v>1</v>
      </c>
      <c r="I48" s="281"/>
      <c r="J48" s="281"/>
      <c r="K48" s="281"/>
      <c r="L48" s="281"/>
      <c r="M48" s="281"/>
      <c r="N48" s="281"/>
      <c r="O48" s="281"/>
      <c r="P48" s="281"/>
      <c r="Q48" s="8"/>
      <c r="R48" s="8"/>
      <c r="S48" s="8"/>
    </row>
    <row r="49" spans="1:19" s="10" customFormat="1" ht="14.25">
      <c r="A49" s="281"/>
      <c r="B49" s="713" t="s">
        <v>255</v>
      </c>
      <c r="C49" s="726" t="s">
        <v>207</v>
      </c>
      <c r="D49" s="801">
        <v>214.4</v>
      </c>
      <c r="E49" s="803">
        <f>D49*'Wskazniki emisji paliw'!N$32</f>
        <v>138.6096</v>
      </c>
      <c r="F49" s="281"/>
      <c r="G49" s="296"/>
      <c r="H49" s="720">
        <v>1</v>
      </c>
      <c r="I49" s="281"/>
      <c r="J49" s="281"/>
      <c r="K49" s="281"/>
      <c r="L49" s="281"/>
      <c r="M49" s="281"/>
      <c r="N49" s="281"/>
      <c r="O49" s="281"/>
      <c r="P49" s="281"/>
      <c r="Q49" s="8"/>
      <c r="R49" s="8"/>
      <c r="S49" s="8"/>
    </row>
    <row r="50" spans="1:19" s="10" customFormat="1" ht="14.25">
      <c r="A50" s="281"/>
      <c r="B50" s="713" t="s">
        <v>209</v>
      </c>
      <c r="C50" s="726" t="s">
        <v>210</v>
      </c>
      <c r="D50" s="801">
        <v>1341.58</v>
      </c>
      <c r="E50" s="803">
        <f>D50*'Wskazniki emisji paliw'!N$32</f>
        <v>867.33146999999985</v>
      </c>
      <c r="F50" s="281"/>
      <c r="G50" s="296"/>
      <c r="H50" s="720">
        <v>1</v>
      </c>
      <c r="I50" s="281"/>
      <c r="J50" s="281"/>
      <c r="K50" s="281"/>
      <c r="L50" s="281"/>
      <c r="M50" s="281"/>
      <c r="N50" s="281"/>
      <c r="O50" s="281"/>
      <c r="P50" s="281"/>
      <c r="Q50" s="8"/>
      <c r="R50" s="8"/>
      <c r="S50" s="8"/>
    </row>
    <row r="51" spans="1:19" s="10" customFormat="1" ht="14.25">
      <c r="A51" s="281"/>
      <c r="B51" s="713" t="s">
        <v>256</v>
      </c>
      <c r="C51" s="726" t="s">
        <v>208</v>
      </c>
      <c r="D51" s="801">
        <v>30.43</v>
      </c>
      <c r="E51" s="803">
        <f>D51*'Wskazniki emisji paliw'!N$32</f>
        <v>19.672995</v>
      </c>
      <c r="F51" s="281"/>
      <c r="G51" s="296"/>
      <c r="H51" s="720">
        <v>1</v>
      </c>
      <c r="I51" s="281"/>
      <c r="J51" s="281"/>
      <c r="K51" s="281"/>
      <c r="L51" s="281"/>
      <c r="M51" s="281"/>
      <c r="N51" s="281"/>
      <c r="O51" s="281"/>
      <c r="P51" s="281"/>
      <c r="Q51" s="8"/>
      <c r="R51" s="8"/>
      <c r="S51" s="8"/>
    </row>
    <row r="52" spans="1:19" s="10" customFormat="1" ht="14.25">
      <c r="A52" s="281"/>
      <c r="B52" s="713" t="s">
        <v>211</v>
      </c>
      <c r="C52" s="726" t="s">
        <v>212</v>
      </c>
      <c r="D52" s="801">
        <v>23.63</v>
      </c>
      <c r="E52" s="803">
        <f>D52*'Wskazniki emisji paliw'!N$32</f>
        <v>15.276794999999998</v>
      </c>
      <c r="F52" s="281"/>
      <c r="G52" s="296"/>
      <c r="H52" s="720">
        <v>1</v>
      </c>
      <c r="I52" s="281"/>
      <c r="J52" s="281"/>
      <c r="K52" s="281"/>
      <c r="L52" s="281"/>
      <c r="M52" s="281"/>
      <c r="N52" s="281"/>
      <c r="O52" s="281"/>
      <c r="P52" s="281"/>
      <c r="Q52" s="8"/>
      <c r="R52" s="8"/>
      <c r="S52" s="8"/>
    </row>
    <row r="53" spans="1:19" s="10" customFormat="1" ht="14.25">
      <c r="A53" s="281"/>
      <c r="B53" s="713" t="s">
        <v>296</v>
      </c>
      <c r="C53" s="726" t="s">
        <v>297</v>
      </c>
      <c r="D53" s="801">
        <v>40</v>
      </c>
      <c r="E53" s="803">
        <f>D53*'Wskazniki emisji paliw'!N$32</f>
        <v>25.86</v>
      </c>
      <c r="F53" s="281"/>
      <c r="G53" s="296"/>
      <c r="H53" s="720">
        <v>1</v>
      </c>
      <c r="I53" s="281"/>
      <c r="J53" s="281"/>
      <c r="K53" s="281"/>
      <c r="L53" s="281"/>
      <c r="M53" s="281"/>
      <c r="N53" s="281"/>
      <c r="O53" s="281"/>
      <c r="P53" s="281"/>
      <c r="Q53" s="8"/>
      <c r="R53" s="8"/>
      <c r="S53" s="8"/>
    </row>
    <row r="54" spans="1:19" s="10" customFormat="1" ht="14.25">
      <c r="A54" s="281"/>
      <c r="B54" s="714"/>
      <c r="C54" s="711"/>
      <c r="D54" s="801"/>
      <c r="E54" s="803">
        <f>D54*'Wskazniki emisji paliw'!N$32</f>
        <v>0</v>
      </c>
      <c r="F54" s="281"/>
      <c r="G54" s="296"/>
      <c r="H54" s="720"/>
      <c r="I54" s="281"/>
      <c r="J54" s="281"/>
      <c r="K54" s="281"/>
      <c r="L54" s="281"/>
      <c r="M54" s="281"/>
      <c r="N54" s="281"/>
      <c r="O54" s="281"/>
      <c r="P54" s="281"/>
      <c r="Q54" s="8"/>
      <c r="R54" s="8"/>
      <c r="S54" s="8"/>
    </row>
    <row r="55" spans="1:19" s="10" customFormat="1" ht="14.25">
      <c r="A55" s="281"/>
      <c r="B55" s="714"/>
      <c r="C55" s="711"/>
      <c r="D55" s="801"/>
      <c r="E55" s="803">
        <f>D55*'Wskazniki emisji paliw'!N$32</f>
        <v>0</v>
      </c>
      <c r="F55" s="281"/>
      <c r="G55" s="296"/>
      <c r="H55" s="720"/>
      <c r="I55" s="281"/>
      <c r="J55" s="281"/>
      <c r="K55" s="281"/>
      <c r="L55" s="281"/>
      <c r="M55" s="281"/>
      <c r="N55" s="281"/>
      <c r="O55" s="281"/>
      <c r="P55" s="281"/>
      <c r="Q55" s="8"/>
      <c r="R55" s="8"/>
      <c r="S55" s="8"/>
    </row>
    <row r="56" spans="1:19" s="10" customFormat="1" ht="14.25">
      <c r="A56" s="281"/>
      <c r="B56" s="714"/>
      <c r="C56" s="711"/>
      <c r="D56" s="801"/>
      <c r="E56" s="803">
        <f>D56*'Wskazniki emisji paliw'!N$32</f>
        <v>0</v>
      </c>
      <c r="F56" s="281"/>
      <c r="G56" s="296"/>
      <c r="H56" s="720"/>
      <c r="I56" s="281"/>
      <c r="J56" s="281"/>
      <c r="K56" s="281"/>
      <c r="L56" s="281"/>
      <c r="M56" s="281"/>
      <c r="N56" s="281"/>
      <c r="O56" s="281"/>
      <c r="P56" s="281"/>
      <c r="Q56" s="8"/>
      <c r="R56" s="8"/>
      <c r="S56" s="8"/>
    </row>
    <row r="57" spans="1:19" s="10" customFormat="1" ht="14.25">
      <c r="A57" s="281"/>
      <c r="B57" s="714"/>
      <c r="C57" s="711"/>
      <c r="D57" s="801"/>
      <c r="E57" s="803">
        <f>D57*'Wskazniki emisji paliw'!N$32</f>
        <v>0</v>
      </c>
      <c r="F57" s="281"/>
      <c r="G57" s="296"/>
      <c r="H57" s="720"/>
      <c r="I57" s="281"/>
      <c r="J57" s="281"/>
      <c r="K57" s="281"/>
      <c r="L57" s="281"/>
      <c r="M57" s="281"/>
      <c r="N57" s="281"/>
      <c r="O57" s="281"/>
      <c r="P57" s="281"/>
      <c r="Q57" s="8"/>
      <c r="R57" s="8"/>
      <c r="S57" s="8"/>
    </row>
    <row r="58" spans="1:19" s="10" customFormat="1" ht="14.25">
      <c r="A58" s="281"/>
      <c r="B58" s="714"/>
      <c r="C58" s="711"/>
      <c r="D58" s="801"/>
      <c r="E58" s="803">
        <f>D58*'Wskazniki emisji paliw'!N$32</f>
        <v>0</v>
      </c>
      <c r="F58" s="281"/>
      <c r="G58" s="296"/>
      <c r="H58" s="720"/>
      <c r="I58" s="281"/>
      <c r="J58" s="281"/>
      <c r="K58" s="281"/>
      <c r="L58" s="281"/>
      <c r="M58" s="281"/>
      <c r="N58" s="281"/>
      <c r="O58" s="281"/>
      <c r="P58" s="281"/>
      <c r="Q58" s="8"/>
      <c r="R58" s="8"/>
      <c r="S58" s="8"/>
    </row>
    <row r="59" spans="1:19" s="10" customFormat="1" ht="14.25">
      <c r="A59" s="281"/>
      <c r="B59" s="714"/>
      <c r="C59" s="711"/>
      <c r="D59" s="801"/>
      <c r="E59" s="803">
        <f>D59*'Wskazniki emisji paliw'!N$32</f>
        <v>0</v>
      </c>
      <c r="F59" s="281"/>
      <c r="G59" s="296"/>
      <c r="H59" s="720"/>
      <c r="I59" s="281"/>
      <c r="J59" s="281"/>
      <c r="K59" s="281"/>
      <c r="L59" s="281"/>
      <c r="M59" s="281"/>
      <c r="N59" s="281"/>
      <c r="O59" s="281"/>
      <c r="P59" s="281"/>
      <c r="Q59" s="8"/>
      <c r="R59" s="8"/>
      <c r="S59" s="8"/>
    </row>
    <row r="60" spans="1:19" s="10" customFormat="1" ht="14.25">
      <c r="A60" s="281"/>
      <c r="B60" s="727"/>
      <c r="C60" s="726"/>
      <c r="D60" s="802"/>
      <c r="E60" s="804">
        <f>D60*'Wskazniki emisji paliw'!N$32</f>
        <v>0</v>
      </c>
      <c r="F60" s="281"/>
      <c r="G60" s="296"/>
      <c r="H60" s="720"/>
      <c r="I60" s="281"/>
      <c r="J60" s="281"/>
      <c r="K60" s="281"/>
      <c r="L60" s="281"/>
      <c r="M60" s="281"/>
      <c r="N60" s="281"/>
      <c r="O60" s="281"/>
      <c r="P60" s="281"/>
      <c r="Q60" s="8"/>
      <c r="R60" s="8"/>
      <c r="S60" s="8"/>
    </row>
    <row r="61" spans="1:19" s="10" customFormat="1" ht="15" thickBot="1">
      <c r="A61" s="281"/>
      <c r="B61" s="300" t="s">
        <v>441</v>
      </c>
      <c r="C61" s="301"/>
      <c r="D61" s="802"/>
      <c r="E61" s="804">
        <f>D61*'Wskazniki emisji paliw'!N$32</f>
        <v>0</v>
      </c>
      <c r="F61" s="281"/>
      <c r="G61" s="296"/>
      <c r="H61" s="720">
        <f>'Sam-Budynki'!S60</f>
        <v>0</v>
      </c>
      <c r="I61" s="281"/>
      <c r="J61" s="281"/>
      <c r="K61" s="281"/>
      <c r="L61" s="281"/>
      <c r="M61" s="281"/>
      <c r="N61" s="281"/>
      <c r="O61" s="281"/>
      <c r="P61" s="281"/>
      <c r="Q61" s="8"/>
      <c r="R61" s="8"/>
      <c r="S61" s="8"/>
    </row>
    <row r="62" spans="1:19" s="10" customFormat="1" ht="18" customHeight="1" thickBot="1">
      <c r="A62" s="281"/>
      <c r="B62" s="302" t="s">
        <v>440</v>
      </c>
      <c r="C62" s="303"/>
      <c r="D62" s="744">
        <f>SUM(D10:D61)</f>
        <v>25783.76760000001</v>
      </c>
      <c r="E62" s="305">
        <f>SUM(E10:E61)</f>
        <v>16669.205753399998</v>
      </c>
      <c r="F62" s="281"/>
      <c r="G62" s="281"/>
      <c r="H62" s="721"/>
      <c r="I62" s="281"/>
      <c r="J62" s="281"/>
      <c r="K62" s="281"/>
      <c r="L62" s="281"/>
      <c r="M62" s="281"/>
      <c r="N62" s="281"/>
      <c r="O62" s="281"/>
      <c r="P62" s="281"/>
      <c r="Q62" s="8"/>
      <c r="R62" s="8"/>
      <c r="S62" s="8"/>
    </row>
    <row r="63" spans="1:19" s="10" customFormat="1" ht="14.25">
      <c r="A63" s="281"/>
      <c r="B63" s="306"/>
      <c r="C63" s="306"/>
      <c r="D63" s="745"/>
      <c r="E63" s="281"/>
      <c r="F63" s="281"/>
      <c r="G63" s="281"/>
      <c r="H63" s="281"/>
      <c r="I63" s="281"/>
      <c r="J63" s="281"/>
      <c r="K63" s="281"/>
      <c r="L63" s="281"/>
      <c r="M63" s="281"/>
      <c r="N63" s="281"/>
      <c r="O63" s="281"/>
      <c r="P63" s="281"/>
      <c r="Q63" s="8"/>
      <c r="R63" s="8"/>
      <c r="S63" s="8"/>
    </row>
    <row r="64" spans="1:19" s="10" customFormat="1" ht="15" thickBot="1">
      <c r="A64" s="281"/>
      <c r="B64" s="283"/>
      <c r="C64" s="283"/>
      <c r="D64" s="741"/>
      <c r="E64" s="281"/>
      <c r="F64" s="281"/>
      <c r="G64" s="281"/>
      <c r="H64" s="281"/>
      <c r="I64" s="281"/>
      <c r="J64" s="281"/>
      <c r="K64" s="281"/>
      <c r="L64" s="281"/>
      <c r="M64" s="281"/>
      <c r="N64" s="281"/>
      <c r="O64" s="281"/>
      <c r="P64" s="281"/>
      <c r="Q64" s="8"/>
      <c r="R64" s="8"/>
      <c r="S64" s="8"/>
    </row>
    <row r="65" spans="1:19" s="292" customFormat="1" ht="30.75" customHeight="1" thickBot="1">
      <c r="A65" s="286"/>
      <c r="B65" s="958" t="s">
        <v>485</v>
      </c>
      <c r="C65" s="958"/>
      <c r="D65" s="746" t="s">
        <v>486</v>
      </c>
      <c r="E65" s="308" t="s">
        <v>487</v>
      </c>
      <c r="F65" s="281"/>
      <c r="G65" s="286"/>
      <c r="H65" s="286"/>
      <c r="I65" s="286"/>
      <c r="J65" s="286"/>
      <c r="K65" s="286"/>
      <c r="L65" s="286"/>
      <c r="M65" s="286"/>
      <c r="N65" s="286"/>
      <c r="O65" s="286"/>
      <c r="P65" s="291"/>
      <c r="Q65" s="291"/>
      <c r="R65" s="291"/>
    </row>
    <row r="66" spans="1:19" s="10" customFormat="1" ht="14.25">
      <c r="A66" s="281"/>
      <c r="B66" s="959" t="s">
        <v>488</v>
      </c>
      <c r="C66" s="959"/>
      <c r="D66" s="747"/>
      <c r="E66" s="310" t="str">
        <f>IFERROR(E62/D66,"")</f>
        <v/>
      </c>
      <c r="F66" s="281"/>
      <c r="G66" s="281"/>
      <c r="H66" s="281"/>
      <c r="I66" s="281"/>
      <c r="J66" s="281"/>
      <c r="K66" s="281"/>
      <c r="L66" s="281"/>
      <c r="M66" s="281"/>
      <c r="N66" s="281"/>
      <c r="O66" s="281"/>
      <c r="P66" s="8"/>
      <c r="Q66" s="8"/>
      <c r="R66" s="8"/>
    </row>
    <row r="67" spans="1:19" s="10" customFormat="1" ht="15" thickBot="1">
      <c r="A67" s="281"/>
      <c r="B67" s="960" t="s">
        <v>489</v>
      </c>
      <c r="C67" s="960"/>
      <c r="D67" s="748">
        <v>175.98</v>
      </c>
      <c r="E67" s="312">
        <f>E62/D67</f>
        <v>94.722160207978177</v>
      </c>
      <c r="F67" s="281"/>
      <c r="G67" s="281"/>
      <c r="H67" s="281"/>
      <c r="I67" s="281"/>
      <c r="J67" s="281"/>
      <c r="K67" s="281"/>
      <c r="L67" s="281"/>
      <c r="M67" s="281"/>
      <c r="N67" s="281"/>
      <c r="O67" s="281"/>
      <c r="P67" s="8"/>
      <c r="Q67" s="8"/>
      <c r="R67" s="8"/>
    </row>
    <row r="68" spans="1:19" s="10" customFormat="1" ht="14.25">
      <c r="A68" s="281"/>
      <c r="B68" s="313"/>
      <c r="C68" s="313"/>
      <c r="D68" s="742"/>
      <c r="E68" s="314"/>
      <c r="F68" s="281"/>
      <c r="G68" s="281"/>
      <c r="H68" s="281"/>
      <c r="I68" s="281"/>
      <c r="J68" s="281"/>
      <c r="K68" s="281"/>
      <c r="L68" s="281"/>
      <c r="M68" s="281"/>
      <c r="N68" s="281"/>
      <c r="O68" s="281"/>
      <c r="P68" s="8"/>
      <c r="Q68" s="8"/>
      <c r="R68" s="8"/>
    </row>
    <row r="69" spans="1:19" s="10" customFormat="1" ht="14.25">
      <c r="A69" s="281"/>
      <c r="B69" s="281"/>
      <c r="C69" s="281"/>
      <c r="D69" s="749"/>
      <c r="E69" s="281"/>
      <c r="F69" s="281"/>
      <c r="G69" s="281"/>
      <c r="H69" s="281"/>
      <c r="I69" s="281"/>
      <c r="J69" s="281"/>
      <c r="K69" s="281"/>
      <c r="L69" s="281"/>
      <c r="M69" s="281"/>
      <c r="N69" s="281"/>
      <c r="O69" s="281"/>
      <c r="P69" s="8"/>
      <c r="Q69" s="8"/>
      <c r="R69" s="8"/>
    </row>
    <row r="70" spans="1:19" s="10" customFormat="1" ht="14.25">
      <c r="A70" s="281"/>
      <c r="B70" s="316" t="s">
        <v>490</v>
      </c>
      <c r="C70" s="281"/>
      <c r="D70" s="742"/>
      <c r="E70" s="281"/>
      <c r="F70" s="281"/>
      <c r="G70" s="281"/>
      <c r="H70" s="281"/>
      <c r="I70" s="281"/>
      <c r="J70" s="281"/>
      <c r="K70" s="281"/>
      <c r="L70" s="281"/>
      <c r="M70" s="281"/>
      <c r="N70" s="281"/>
      <c r="O70" s="281"/>
      <c r="P70" s="281"/>
      <c r="Q70" s="8"/>
      <c r="R70" s="8"/>
      <c r="S70" s="8"/>
    </row>
    <row r="71" spans="1:19" s="10" customFormat="1" ht="14.25">
      <c r="A71" s="281"/>
      <c r="B71" s="317">
        <v>1</v>
      </c>
      <c r="C71" s="956"/>
      <c r="D71" s="956"/>
      <c r="E71" s="956"/>
      <c r="F71" s="956"/>
      <c r="G71" s="956"/>
      <c r="H71" s="281"/>
      <c r="I71" s="281"/>
      <c r="J71" s="281"/>
      <c r="K71" s="281"/>
      <c r="L71" s="281"/>
      <c r="M71" s="281"/>
      <c r="N71" s="281"/>
      <c r="O71" s="281"/>
      <c r="P71" s="281"/>
      <c r="Q71" s="8"/>
      <c r="R71" s="8"/>
    </row>
    <row r="72" spans="1:19" s="10" customFormat="1" ht="14.25">
      <c r="A72" s="281"/>
      <c r="B72" s="317">
        <v>2</v>
      </c>
      <c r="C72" s="956"/>
      <c r="D72" s="956"/>
      <c r="E72" s="956"/>
      <c r="F72" s="956"/>
      <c r="G72" s="956"/>
      <c r="H72" s="281"/>
      <c r="I72" s="281"/>
      <c r="J72" s="281"/>
      <c r="K72" s="281"/>
      <c r="L72" s="281"/>
      <c r="M72" s="281"/>
      <c r="N72" s="281"/>
      <c r="O72" s="281"/>
      <c r="P72" s="281"/>
      <c r="Q72" s="8"/>
      <c r="R72" s="8"/>
    </row>
    <row r="73" spans="1:19" s="10" customFormat="1" ht="14.25">
      <c r="A73" s="281"/>
      <c r="B73" s="317">
        <v>3</v>
      </c>
      <c r="C73" s="956"/>
      <c r="D73" s="956"/>
      <c r="E73" s="956"/>
      <c r="F73" s="956"/>
      <c r="G73" s="956"/>
      <c r="H73" s="281"/>
      <c r="I73" s="281"/>
      <c r="J73" s="281"/>
      <c r="K73" s="281"/>
      <c r="L73" s="281"/>
      <c r="M73" s="281"/>
      <c r="N73" s="281"/>
      <c r="O73" s="281"/>
      <c r="P73" s="281"/>
      <c r="Q73" s="8"/>
      <c r="R73" s="8"/>
    </row>
    <row r="74" spans="1:19" s="10" customFormat="1" ht="14.25">
      <c r="A74" s="281"/>
      <c r="B74" s="281"/>
      <c r="C74" s="281"/>
      <c r="D74" s="742"/>
      <c r="E74" s="281"/>
      <c r="F74" s="281"/>
      <c r="G74" s="281"/>
      <c r="H74" s="281"/>
      <c r="I74" s="281"/>
      <c r="J74" s="281"/>
      <c r="K74" s="281"/>
      <c r="L74" s="281"/>
      <c r="M74" s="281"/>
      <c r="N74" s="281"/>
      <c r="O74" s="281"/>
      <c r="P74" s="281"/>
      <c r="Q74" s="8"/>
      <c r="R74" s="8"/>
    </row>
    <row r="75" spans="1:19">
      <c r="A75" s="279"/>
      <c r="B75" s="279"/>
      <c r="C75" s="279"/>
      <c r="D75" s="740"/>
      <c r="E75" s="279"/>
      <c r="F75" s="279"/>
      <c r="G75" s="279"/>
      <c r="H75" s="279"/>
      <c r="I75" s="279"/>
      <c r="J75" s="279"/>
      <c r="K75" s="279"/>
      <c r="L75" s="279"/>
      <c r="M75" s="279"/>
      <c r="N75" s="279"/>
      <c r="O75" s="279"/>
      <c r="P75" s="279"/>
      <c r="Q75" s="146"/>
      <c r="R75" s="146"/>
    </row>
    <row r="76" spans="1:19">
      <c r="A76" s="279"/>
      <c r="B76" s="279"/>
      <c r="C76" s="279"/>
      <c r="D76" s="740"/>
      <c r="E76" s="279"/>
      <c r="F76" s="279"/>
      <c r="G76" s="279"/>
      <c r="H76" s="279"/>
      <c r="I76" s="279"/>
      <c r="J76" s="279"/>
      <c r="K76" s="279"/>
      <c r="L76" s="279"/>
      <c r="M76" s="279"/>
      <c r="N76" s="279"/>
      <c r="O76" s="279"/>
      <c r="P76" s="279"/>
      <c r="Q76" s="146"/>
      <c r="R76" s="146"/>
    </row>
    <row r="77" spans="1:19">
      <c r="A77" s="279"/>
      <c r="B77" s="279"/>
      <c r="C77" s="279"/>
      <c r="D77" s="740"/>
      <c r="E77" s="279"/>
      <c r="F77" s="279"/>
      <c r="G77" s="279"/>
      <c r="H77" s="279"/>
      <c r="I77" s="279"/>
      <c r="J77" s="279"/>
      <c r="K77" s="279"/>
      <c r="L77" s="279"/>
      <c r="M77" s="279"/>
      <c r="N77" s="279"/>
      <c r="O77" s="279"/>
      <c r="P77" s="279"/>
      <c r="Q77" s="146"/>
      <c r="R77" s="146"/>
    </row>
    <row r="78" spans="1:19">
      <c r="A78" s="279"/>
      <c r="B78" s="279"/>
      <c r="C78" s="279"/>
      <c r="D78" s="740"/>
      <c r="E78" s="279"/>
      <c r="F78" s="279"/>
      <c r="G78" s="279"/>
      <c r="H78" s="279"/>
      <c r="I78" s="279"/>
      <c r="J78" s="279"/>
      <c r="K78" s="279"/>
      <c r="L78" s="279"/>
      <c r="M78" s="279"/>
      <c r="N78" s="279"/>
      <c r="O78" s="279"/>
      <c r="P78" s="279"/>
      <c r="Q78" s="146"/>
      <c r="R78" s="146"/>
    </row>
    <row r="79" spans="1:19">
      <c r="A79" s="279"/>
      <c r="B79" s="279"/>
      <c r="C79" s="279"/>
      <c r="D79" s="740"/>
      <c r="E79" s="279"/>
      <c r="F79" s="279"/>
      <c r="G79" s="279"/>
      <c r="H79" s="279"/>
      <c r="I79" s="279"/>
      <c r="J79" s="279"/>
      <c r="K79" s="279"/>
      <c r="L79" s="279"/>
      <c r="M79" s="279"/>
      <c r="N79" s="279"/>
      <c r="O79" s="279"/>
      <c r="P79" s="279"/>
      <c r="Q79" s="146"/>
      <c r="R79" s="146"/>
    </row>
    <row r="80" spans="1:19">
      <c r="A80" s="279"/>
      <c r="B80" s="279"/>
      <c r="C80" s="279"/>
      <c r="D80" s="740"/>
      <c r="E80" s="279"/>
      <c r="F80" s="279"/>
      <c r="G80" s="279"/>
      <c r="H80" s="279"/>
      <c r="I80" s="279"/>
      <c r="J80" s="279"/>
      <c r="K80" s="279"/>
      <c r="L80" s="279"/>
      <c r="M80" s="279"/>
      <c r="N80" s="279"/>
      <c r="O80" s="279"/>
      <c r="P80" s="279"/>
      <c r="Q80" s="146"/>
      <c r="R80" s="146"/>
    </row>
    <row r="81" spans="1:18">
      <c r="A81" s="279"/>
      <c r="B81" s="279"/>
      <c r="C81" s="279"/>
      <c r="D81" s="740"/>
      <c r="E81" s="279"/>
      <c r="F81" s="279"/>
      <c r="G81" s="279"/>
      <c r="H81" s="279"/>
      <c r="I81" s="279"/>
      <c r="J81" s="279"/>
      <c r="K81" s="279"/>
      <c r="L81" s="279"/>
      <c r="M81" s="279"/>
      <c r="N81" s="279"/>
      <c r="O81" s="279"/>
      <c r="P81" s="279"/>
      <c r="Q81" s="146"/>
      <c r="R81" s="146"/>
    </row>
    <row r="82" spans="1:18">
      <c r="A82" s="279"/>
      <c r="B82" s="279"/>
      <c r="C82" s="279"/>
      <c r="D82" s="740"/>
      <c r="E82" s="279"/>
      <c r="F82" s="279"/>
      <c r="G82" s="279"/>
      <c r="H82" s="279"/>
      <c r="I82" s="279"/>
      <c r="J82" s="279"/>
      <c r="K82" s="279"/>
      <c r="L82" s="279"/>
      <c r="M82" s="279"/>
      <c r="N82" s="279"/>
      <c r="O82" s="279"/>
      <c r="P82" s="279"/>
      <c r="Q82" s="146"/>
      <c r="R82" s="146"/>
    </row>
    <row r="83" spans="1:18">
      <c r="A83" s="279"/>
      <c r="B83" s="279"/>
      <c r="C83" s="279"/>
      <c r="D83" s="740"/>
      <c r="E83" s="279"/>
      <c r="F83" s="279"/>
      <c r="G83" s="279"/>
      <c r="H83" s="279"/>
      <c r="I83" s="279"/>
      <c r="J83" s="279"/>
      <c r="K83" s="279"/>
      <c r="L83" s="279"/>
      <c r="M83" s="279"/>
      <c r="N83" s="279"/>
      <c r="O83" s="279"/>
      <c r="P83" s="279"/>
      <c r="Q83" s="146"/>
      <c r="R83" s="146"/>
    </row>
    <row r="84" spans="1:18">
      <c r="A84" s="279"/>
      <c r="B84" s="279"/>
      <c r="C84" s="279"/>
      <c r="D84" s="740"/>
      <c r="E84" s="279"/>
      <c r="F84" s="279"/>
      <c r="G84" s="279"/>
      <c r="H84" s="279"/>
      <c r="I84" s="279"/>
      <c r="J84" s="279"/>
      <c r="K84" s="279"/>
      <c r="L84" s="279"/>
      <c r="M84" s="279"/>
      <c r="N84" s="279"/>
      <c r="O84" s="279"/>
      <c r="P84" s="279"/>
      <c r="Q84" s="146"/>
      <c r="R84" s="146"/>
    </row>
    <row r="85" spans="1:18">
      <c r="A85" s="146"/>
      <c r="B85" s="146"/>
      <c r="C85" s="146"/>
      <c r="D85" s="750"/>
      <c r="E85" s="146"/>
      <c r="F85" s="146"/>
      <c r="G85" s="146"/>
      <c r="H85" s="146"/>
      <c r="I85" s="146"/>
      <c r="J85" s="146"/>
      <c r="K85" s="146"/>
      <c r="L85" s="146"/>
      <c r="M85" s="146"/>
      <c r="N85" s="146"/>
      <c r="O85" s="146"/>
      <c r="P85" s="146"/>
      <c r="Q85" s="146"/>
      <c r="R85" s="146"/>
    </row>
    <row r="86" spans="1:18">
      <c r="A86" s="146"/>
      <c r="B86" s="146"/>
      <c r="C86" s="146"/>
      <c r="D86" s="750"/>
      <c r="E86" s="146"/>
      <c r="F86" s="146"/>
      <c r="G86" s="146"/>
      <c r="H86" s="146"/>
      <c r="I86" s="146"/>
      <c r="J86" s="146"/>
      <c r="K86" s="146"/>
      <c r="L86" s="146"/>
      <c r="M86" s="146"/>
      <c r="N86" s="146"/>
      <c r="O86" s="146"/>
      <c r="P86" s="146"/>
    </row>
    <row r="87" spans="1:18">
      <c r="A87" s="146"/>
      <c r="B87" s="146"/>
      <c r="C87" s="146"/>
      <c r="D87" s="750"/>
      <c r="E87" s="146"/>
      <c r="F87" s="146"/>
      <c r="G87" s="146"/>
      <c r="H87" s="146"/>
      <c r="I87" s="146"/>
      <c r="J87" s="146"/>
      <c r="K87" s="146"/>
      <c r="L87" s="146"/>
      <c r="M87" s="146"/>
      <c r="N87" s="146"/>
      <c r="O87" s="146"/>
      <c r="P87" s="146"/>
    </row>
    <row r="88" spans="1:18">
      <c r="A88" s="146"/>
      <c r="B88" s="146"/>
      <c r="C88" s="146"/>
      <c r="D88" s="750"/>
      <c r="E88" s="146"/>
      <c r="F88" s="146"/>
      <c r="G88" s="146"/>
      <c r="H88" s="146"/>
      <c r="I88" s="146"/>
      <c r="J88" s="146"/>
      <c r="K88" s="146"/>
      <c r="L88" s="146"/>
      <c r="M88" s="146"/>
      <c r="N88" s="146"/>
      <c r="O88" s="146"/>
      <c r="P88" s="146"/>
    </row>
    <row r="89" spans="1:18">
      <c r="A89" s="146"/>
      <c r="B89" s="146"/>
      <c r="C89" s="146"/>
      <c r="D89" s="750"/>
      <c r="E89" s="146"/>
      <c r="F89" s="146"/>
      <c r="G89" s="146"/>
      <c r="H89" s="146"/>
      <c r="I89" s="146"/>
      <c r="J89" s="146"/>
      <c r="K89" s="146"/>
      <c r="L89" s="146"/>
      <c r="M89" s="146"/>
      <c r="N89" s="146"/>
      <c r="O89" s="146"/>
      <c r="P89" s="146"/>
    </row>
    <row r="90" spans="1:18">
      <c r="A90" s="146"/>
      <c r="B90" s="146"/>
      <c r="C90" s="146"/>
      <c r="D90" s="750"/>
      <c r="E90" s="146"/>
      <c r="F90" s="146"/>
      <c r="G90" s="146"/>
      <c r="H90" s="146"/>
      <c r="I90" s="146"/>
      <c r="J90" s="146"/>
      <c r="K90" s="146"/>
      <c r="L90" s="146"/>
      <c r="M90" s="146"/>
      <c r="N90" s="146"/>
      <c r="O90" s="146"/>
      <c r="P90" s="146"/>
    </row>
  </sheetData>
  <mergeCells count="9">
    <mergeCell ref="C71:G71"/>
    <mergeCell ref="C72:G72"/>
    <mergeCell ref="C73:G73"/>
    <mergeCell ref="C1:F1"/>
    <mergeCell ref="B3:G3"/>
    <mergeCell ref="C6:G6"/>
    <mergeCell ref="B65:C65"/>
    <mergeCell ref="B66:C66"/>
    <mergeCell ref="B67:C67"/>
  </mergeCells>
  <pageMargins left="0.74791666666666667" right="0.74791666666666667" top="0.98402777777777772" bottom="0.98402777777777772" header="0.51180555555555551" footer="0.51180555555555551"/>
  <pageSetup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26</vt:i4>
      </vt:variant>
      <vt:variant>
        <vt:lpstr>Intervalli denominati</vt:lpstr>
      </vt:variant>
      <vt:variant>
        <vt:i4>36</vt:i4>
      </vt:variant>
    </vt:vector>
  </HeadingPairs>
  <TitlesOfParts>
    <vt:vector size="62" baseType="lpstr">
      <vt:lpstr>Instrukcja</vt:lpstr>
      <vt:lpstr>Ogolne</vt:lpstr>
      <vt:lpstr>Sam-Budynki-WSAD</vt:lpstr>
      <vt:lpstr>Sam-Budynki</vt:lpstr>
      <vt:lpstr>Sam-Pojazdy-WSAD</vt:lpstr>
      <vt:lpstr>Sam-Pojazdy</vt:lpstr>
      <vt:lpstr>Sam-Oswietlenie</vt:lpstr>
      <vt:lpstr>Sam-Woda&amp;Scieki</vt:lpstr>
      <vt:lpstr>Sam-Odpady-WSAD</vt:lpstr>
      <vt:lpstr>Sam-Odpady</vt:lpstr>
      <vt:lpstr>Sam-Podsumowanie</vt:lpstr>
      <vt:lpstr>Spo-Mieszkalny</vt:lpstr>
      <vt:lpstr>Spo-Uslugi</vt:lpstr>
      <vt:lpstr>Spo-Przemysł</vt:lpstr>
      <vt:lpstr>Com-Transportation (VKT)</vt:lpstr>
      <vt:lpstr>Spo-Transport (ZuzyciePaliw)</vt:lpstr>
      <vt:lpstr>Spo-Odpady</vt:lpstr>
      <vt:lpstr>Rolnictwo</vt:lpstr>
      <vt:lpstr>Lokalna produkcja energii</vt:lpstr>
      <vt:lpstr>Spo-podsumowanie</vt:lpstr>
      <vt:lpstr>Wskazniki emisji paliw</vt:lpstr>
      <vt:lpstr>Wskazniki emisji elektrycznosc</vt:lpstr>
      <vt:lpstr>Wskazniki emisji rolnictwo</vt:lpstr>
      <vt:lpstr>N2O coef</vt:lpstr>
      <vt:lpstr>CH4 coef</vt:lpstr>
      <vt:lpstr>Waste coef</vt:lpstr>
      <vt:lpstr>'Com-Transportation (VKT)'!Area_stampa</vt:lpstr>
      <vt:lpstr>Instrukcja!Area_stampa</vt:lpstr>
      <vt:lpstr>'Lokalna produkcja energii'!Area_stampa</vt:lpstr>
      <vt:lpstr>Ogolne!Area_stampa</vt:lpstr>
      <vt:lpstr>Rolnictwo!Area_stampa</vt:lpstr>
      <vt:lpstr>'Sam-Budynki'!Area_stampa</vt:lpstr>
      <vt:lpstr>'Sam-Odpady'!Area_stampa</vt:lpstr>
      <vt:lpstr>'Sam-Odpady-WSAD'!Area_stampa</vt:lpstr>
      <vt:lpstr>'Sam-Oswietlenie'!Area_stampa</vt:lpstr>
      <vt:lpstr>'Sam-Podsumowanie'!Area_stampa</vt:lpstr>
      <vt:lpstr>'Sam-Pojazdy'!Area_stampa</vt:lpstr>
      <vt:lpstr>'Sam-Woda&amp;Scieki'!Area_stampa</vt:lpstr>
      <vt:lpstr>'Spo-Mieszkalny'!Area_stampa</vt:lpstr>
      <vt:lpstr>'Spo-Odpady'!Area_stampa</vt:lpstr>
      <vt:lpstr>'Spo-podsumowanie'!Area_stampa</vt:lpstr>
      <vt:lpstr>'Spo-Przemysł'!Area_stampa</vt:lpstr>
      <vt:lpstr>'Spo-Transport (ZuzyciePaliw)'!Area_stampa</vt:lpstr>
      <vt:lpstr>'Spo-Uslugi'!Area_stampa</vt:lpstr>
      <vt:lpstr>'Wskazniki emisji elektrycznosc'!Area_stampa</vt:lpstr>
      <vt:lpstr>'Wskazniki emisji paliw'!Area_stampa</vt:lpstr>
      <vt:lpstr>'Wskazniki emisji rolnictwo'!Area_stampa</vt:lpstr>
      <vt:lpstr>buildingcost</vt:lpstr>
      <vt:lpstr>buildingscost</vt:lpstr>
      <vt:lpstr>buildingseco2</vt:lpstr>
      <vt:lpstr>comyear</vt:lpstr>
      <vt:lpstr>corpyear</vt:lpstr>
      <vt:lpstr>Excel_BuiltIn__FilterDatabase_2</vt:lpstr>
      <vt:lpstr>Excel_BuiltIn__FilterDatabase_3</vt:lpstr>
      <vt:lpstr>name</vt:lpstr>
      <vt:lpstr>publiclightingcost</vt:lpstr>
      <vt:lpstr>streetlightscost</vt:lpstr>
      <vt:lpstr>vehiclefleetcost</vt:lpstr>
      <vt:lpstr>vehiclefleeteco2</vt:lpstr>
      <vt:lpstr>wastecoef</vt:lpstr>
      <vt:lpstr>waterandsewagecost</vt:lpstr>
      <vt:lpstr>waterandsewageeco2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 Pawelec</dc:creator>
  <cp:lastModifiedBy>ElisaG</cp:lastModifiedBy>
  <dcterms:created xsi:type="dcterms:W3CDTF">2010-05-11T09:11:53Z</dcterms:created>
  <dcterms:modified xsi:type="dcterms:W3CDTF">2011-11-28T13:43:00Z</dcterms:modified>
</cp:coreProperties>
</file>